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  <extLst>
    <ext uri="GoogleSheetsCustomDataVersion1">
      <go:sheetsCustomData xmlns:go="http://customooxmlschemas.google.com/" r:id="rId5" roundtripDataSignature="AMtx7mhpVd7RrI+W/UKpQ1USDHzPxqr+tw=="/>
    </ext>
  </extLst>
</workbook>
</file>

<file path=xl/sharedStrings.xml><?xml version="1.0" encoding="utf-8"?>
<sst xmlns="http://schemas.openxmlformats.org/spreadsheetml/2006/main" count="288" uniqueCount="145">
  <si>
    <t>Wheel</t>
  </si>
  <si>
    <t>A-C</t>
  </si>
  <si>
    <t>Fork</t>
  </si>
  <si>
    <t>Tires</t>
  </si>
  <si>
    <t>Reach</t>
  </si>
  <si>
    <t>FC</t>
  </si>
  <si>
    <t>Standover</t>
  </si>
  <si>
    <t>Stack</t>
  </si>
  <si>
    <t>Effective TT</t>
  </si>
  <si>
    <t>Actual TT</t>
  </si>
  <si>
    <t>Seat tube</t>
  </si>
  <si>
    <t>Chain stays</t>
  </si>
  <si>
    <t>BB rise</t>
  </si>
  <si>
    <t>BB height</t>
  </si>
  <si>
    <t>HTA</t>
  </si>
  <si>
    <t>STA</t>
  </si>
  <si>
    <t>Wheelbase</t>
  </si>
  <si>
    <t>Headtube</t>
  </si>
  <si>
    <t>size</t>
  </si>
  <si>
    <t>travel</t>
  </si>
  <si>
    <t>mm</t>
  </si>
  <si>
    <t>in</t>
  </si>
  <si>
    <t>(EFFECTIVE)</t>
  </si>
  <si>
    <t>Define 130</t>
  </si>
  <si>
    <t>M</t>
  </si>
  <si>
    <t>29"</t>
  </si>
  <si>
    <t>29 x 2.4 [740mm]</t>
  </si>
  <si>
    <t>460 / 470</t>
  </si>
  <si>
    <t>18.1 / 18.5</t>
  </si>
  <si>
    <t>780 / 790</t>
  </si>
  <si>
    <t>30.7 / 31.1</t>
  </si>
  <si>
    <t>606 / 616</t>
  </si>
  <si>
    <t>23.9 / 24.3</t>
  </si>
  <si>
    <t>574 / 584</t>
  </si>
  <si>
    <t>22.6 / 23.0</t>
  </si>
  <si>
    <t>1217 / 1227</t>
  </si>
  <si>
    <t>47.9 / 48.3</t>
  </si>
  <si>
    <t>L</t>
  </si>
  <si>
    <t>490 / 500</t>
  </si>
  <si>
    <t>19.3 / 19.7</t>
  </si>
  <si>
    <t>814 / 824</t>
  </si>
  <si>
    <t>32.0 / 32.4</t>
  </si>
  <si>
    <t>643 / 653</t>
  </si>
  <si>
    <t>25.3 / 25.7</t>
  </si>
  <si>
    <t>1250 / 1260</t>
  </si>
  <si>
    <t>49.2 / 49.6</t>
  </si>
  <si>
    <t>Define 150</t>
  </si>
  <si>
    <t>450 / 460</t>
  </si>
  <si>
    <t>17.7 / 18.1</t>
  </si>
  <si>
    <t>788 / 798</t>
  </si>
  <si>
    <t>31.0 / 31.4</t>
  </si>
  <si>
    <t>610 / 620</t>
  </si>
  <si>
    <t>24.0 / 24.4</t>
  </si>
  <si>
    <t>1225 / 1235</t>
  </si>
  <si>
    <t>48.2 / 48.6</t>
  </si>
  <si>
    <t>480 / 490</t>
  </si>
  <si>
    <t>18.9 / 19.3</t>
  </si>
  <si>
    <t>821 / 831</t>
  </si>
  <si>
    <t>32.3 / 32.7</t>
  </si>
  <si>
    <t>646 / 656</t>
  </si>
  <si>
    <t>25.4 / 25.8</t>
  </si>
  <si>
    <t>64.5</t>
  </si>
  <si>
    <t>1259 / 1269</t>
  </si>
  <si>
    <t>49.6 / 50.0</t>
  </si>
  <si>
    <t>Define AL 130</t>
  </si>
  <si>
    <t>S</t>
  </si>
  <si>
    <t>Define AL 150</t>
  </si>
  <si>
    <t>Define AL 170</t>
  </si>
  <si>
    <t xml:space="preserve">29" &amp; 27.5" </t>
  </si>
  <si>
    <t>29 x 2.5 [749mm] 27.5 x2.5 [711mm]</t>
  </si>
  <si>
    <t>-8 (27.5") - 11 (29")</t>
  </si>
  <si>
    <t>-0,3 (27.5") - 1 (29")</t>
  </si>
  <si>
    <t>Define AL160</t>
  </si>
  <si>
    <t>27.5"</t>
  </si>
  <si>
    <t>27.5 x 2.4 [705mm]</t>
  </si>
  <si>
    <t>Fuzz  (27.5”)</t>
  </si>
  <si>
    <t>27.5 x 2.5 [710mm]</t>
  </si>
  <si>
    <t>450+-8</t>
  </si>
  <si>
    <t>17.7+-0.3</t>
  </si>
  <si>
    <t xml:space="preserve">17.6 </t>
  </si>
  <si>
    <t xml:space="preserve">49.4 </t>
  </si>
  <si>
    <t>470+-8</t>
  </si>
  <si>
    <t>18.5+-0.3</t>
  </si>
  <si>
    <t xml:space="preserve">17.9 </t>
  </si>
  <si>
    <t>50.7</t>
  </si>
  <si>
    <t>Fuzz  (29”)</t>
  </si>
  <si>
    <t>448+-8</t>
  </si>
  <si>
    <t>17.6+-0.3</t>
  </si>
  <si>
    <t>472+-8</t>
  </si>
  <si>
    <t>18.6+-0.3</t>
  </si>
  <si>
    <t>Nerd JR</t>
  </si>
  <si>
    <t>-</t>
  </si>
  <si>
    <t>24"</t>
  </si>
  <si>
    <t>120 (26”)</t>
  </si>
  <si>
    <t>24 x 2.1 [640mm]</t>
  </si>
  <si>
    <t>26”</t>
  </si>
  <si>
    <t xml:space="preserve"> 26 x 2.1 [670mm]</t>
  </si>
  <si>
    <t>Nerd MINI</t>
  </si>
  <si>
    <t>27,5"</t>
  </si>
  <si>
    <t>27.5 x 2.3 [702mm]</t>
  </si>
  <si>
    <t>Eccentric 20</t>
  </si>
  <si>
    <t>20"</t>
  </si>
  <si>
    <t>20 x 2.2 [562mm]</t>
  </si>
  <si>
    <t>Eccentric 24</t>
  </si>
  <si>
    <t>24 x 2.35 [626mm]</t>
  </si>
  <si>
    <t>Eccentric MINI</t>
  </si>
  <si>
    <t>27.5 x 2.2 [695mm]</t>
  </si>
  <si>
    <t xml:space="preserve">Zircus 24” </t>
  </si>
  <si>
    <t xml:space="preserve">Movement 24” </t>
  </si>
  <si>
    <t>RAG JR</t>
  </si>
  <si>
    <t>26"</t>
  </si>
  <si>
    <t>26 x 1.5 [640mm]</t>
  </si>
  <si>
    <t>Synonim XC</t>
  </si>
  <si>
    <t>29”</t>
  </si>
  <si>
    <t>29 x 2.25 [728mm]</t>
  </si>
  <si>
    <t>XL</t>
  </si>
  <si>
    <t>Synonim Trail 1, 2</t>
  </si>
  <si>
    <t>Synonim Trail 3, 4</t>
  </si>
  <si>
    <t>29 x 2.4 [744mm]</t>
  </si>
  <si>
    <t>Eccentric Cromo</t>
  </si>
  <si>
    <t>Eccentric Alu 29”</t>
  </si>
  <si>
    <t>Eccentric Lite</t>
  </si>
  <si>
    <t>3r</t>
  </si>
  <si>
    <t>Metropolis</t>
  </si>
  <si>
    <t>26 x 2.1 [670mm]</t>
  </si>
  <si>
    <t>Movement / Zircus</t>
  </si>
  <si>
    <t xml:space="preserve">Clash </t>
  </si>
  <si>
    <t>26 x 2.1 [665mm]</t>
  </si>
  <si>
    <t>Crust</t>
  </si>
  <si>
    <t>RIGID</t>
  </si>
  <si>
    <t>650b x 47C [678mm]</t>
  </si>
  <si>
    <t>RAG+</t>
  </si>
  <si>
    <t>700c</t>
  </si>
  <si>
    <t>700x45c [720mm]</t>
  </si>
  <si>
    <t>FRAG</t>
  </si>
  <si>
    <t>27,5x2,25 [698mm]</t>
  </si>
  <si>
    <t>XRAG</t>
  </si>
  <si>
    <t>RIGID(400)</t>
  </si>
  <si>
    <t>700x38c [698mm]</t>
  </si>
  <si>
    <t>E-fine 1</t>
  </si>
  <si>
    <t>-10 (27.5") - 29 (29")</t>
  </si>
  <si>
    <t>-0.4 (27.5") - 1 .1 (29")</t>
  </si>
  <si>
    <t>E-fine 2</t>
  </si>
  <si>
    <t>-13 (27.5") - 32 (29")</t>
  </si>
  <si>
    <t>-0.5 (27.5") - 1 .3 (29")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</si>
</sst>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theme="1"/>
      <name val="Arial"/>
    </font>
    <font>
      <b/>
      <sz val="16.0"/>
      <color theme="1"/>
      <name val="Montserrat"/>
    </font>
    <font>
      <b/>
      <sz val="9.0"/>
      <color theme="1"/>
      <name val="Montserrat"/>
    </font>
    <font/>
    <font>
      <sz val="9.0"/>
      <color theme="1"/>
      <name val="Montserrat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1" xfId="0" applyAlignment="1" applyBorder="1" applyFont="1" applyNumberFormat="1">
      <alignment horizontal="center" vertical="center"/>
    </xf>
    <xf borderId="2" fillId="0" fontId="2" numFmtId="1" xfId="0" applyAlignment="1" applyBorder="1" applyFont="1" applyNumberFormat="1">
      <alignment horizontal="center" vertical="center"/>
    </xf>
    <xf borderId="3" fillId="0" fontId="2" numFmtId="1" xfId="0" applyAlignment="1" applyBorder="1" applyFont="1" applyNumberFormat="1">
      <alignment horizontal="center" vertical="center"/>
    </xf>
    <xf borderId="4" fillId="0" fontId="3" numFmtId="0" xfId="0" applyBorder="1" applyFont="1"/>
    <xf borderId="2" fillId="0" fontId="2" numFmtId="164" xfId="0" applyAlignment="1" applyBorder="1" applyFont="1" applyNumberFormat="1">
      <alignment horizontal="center" vertical="center"/>
    </xf>
    <xf borderId="5" fillId="0" fontId="3" numFmtId="0" xfId="0" applyBorder="1" applyFont="1"/>
    <xf borderId="1" fillId="2" fontId="2" numFmtId="1" xfId="0" applyAlignment="1" applyBorder="1" applyFill="1" applyFont="1" applyNumberFormat="1">
      <alignment horizontal="center" vertical="center"/>
    </xf>
    <xf borderId="2" fillId="2" fontId="2" numFmtId="1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2" numFmtId="164" xfId="0" applyAlignment="1" applyBorder="1" applyFont="1" applyNumberFormat="1">
      <alignment horizontal="center" vertical="center"/>
    </xf>
    <xf borderId="2" fillId="2" fontId="4" numFmtId="164" xfId="0" applyAlignment="1" applyBorder="1" applyFont="1" applyNumberFormat="1">
      <alignment horizontal="center" vertical="center"/>
    </xf>
    <xf borderId="2" fillId="2" fontId="2" numFmtId="164" xfId="0" applyAlignment="1" applyBorder="1" applyFont="1" applyNumberFormat="1">
      <alignment horizontal="center" vertical="center"/>
    </xf>
    <xf borderId="1" fillId="3" fontId="2" numFmtId="1" xfId="0" applyAlignment="1" applyBorder="1" applyFill="1" applyFont="1" applyNumberFormat="1">
      <alignment horizontal="center" vertical="center"/>
    </xf>
    <xf borderId="2" fillId="3" fontId="2" numFmtId="1" xfId="0" applyAlignment="1" applyBorder="1" applyFont="1" applyNumberFormat="1">
      <alignment horizontal="center" vertical="center"/>
    </xf>
    <xf borderId="1" fillId="3" fontId="2" numFmtId="0" xfId="0" applyAlignment="1" applyBorder="1" applyFont="1">
      <alignment horizontal="center" vertical="center"/>
    </xf>
    <xf borderId="2" fillId="3" fontId="4" numFmtId="164" xfId="0" applyAlignment="1" applyBorder="1" applyFont="1" applyNumberFormat="1">
      <alignment horizontal="center" vertical="center"/>
    </xf>
    <xf borderId="2" fillId="3" fontId="2" numFmtId="164" xfId="0" applyAlignment="1" applyBorder="1" applyFont="1" applyNumberFormat="1">
      <alignment horizontal="center" vertical="center"/>
    </xf>
    <xf borderId="1" fillId="2" fontId="2" numFmtId="1" xfId="0" applyAlignment="1" applyBorder="1" applyFont="1" applyNumberFormat="1">
      <alignment horizontal="center" shrinkToFit="0" vertical="center" wrapText="1"/>
    </xf>
    <xf borderId="6" fillId="0" fontId="3" numFmtId="0" xfId="0" applyBorder="1" applyFont="1"/>
    <xf borderId="1" fillId="3" fontId="2" numFmtId="1" xfId="0" applyAlignment="1" applyBorder="1" applyFont="1" applyNumberFormat="1">
      <alignment horizontal="center" shrinkToFit="0" vertical="center" wrapText="1"/>
    </xf>
    <xf borderId="2" fillId="2" fontId="2" numFmtId="49" xfId="0" applyAlignment="1" applyBorder="1" applyFont="1" applyNumberFormat="1">
      <alignment horizontal="center" vertical="center"/>
    </xf>
    <xf borderId="2" fillId="2" fontId="2" numFmtId="0" xfId="0" applyAlignment="1" applyBorder="1" applyFont="1">
      <alignment horizontal="center" vertical="center"/>
    </xf>
    <xf borderId="2" fillId="2" fontId="4" numFmtId="1" xfId="0" applyAlignment="1" applyBorder="1" applyFont="1" applyNumberFormat="1">
      <alignment horizontal="center" vertical="center"/>
    </xf>
    <xf borderId="1" fillId="4" fontId="2" numFmtId="1" xfId="0" applyAlignment="1" applyBorder="1" applyFill="1" applyFont="1" applyNumberFormat="1">
      <alignment horizontal="center" vertical="center"/>
    </xf>
    <xf borderId="2" fillId="4" fontId="2" numFmtId="1" xfId="0" applyAlignment="1" applyBorder="1" applyFont="1" applyNumberFormat="1">
      <alignment horizontal="center" vertical="center"/>
    </xf>
    <xf borderId="1" fillId="4" fontId="2" numFmtId="0" xfId="0" applyAlignment="1" applyBorder="1" applyFont="1">
      <alignment horizontal="center" vertical="center"/>
    </xf>
    <xf borderId="2" fillId="4" fontId="4" numFmtId="164" xfId="0" applyAlignment="1" applyBorder="1" applyFont="1" applyNumberFormat="1">
      <alignment horizontal="center" vertical="center"/>
    </xf>
    <xf borderId="2" fillId="4" fontId="2" numFmtId="164" xfId="0" applyAlignment="1" applyBorder="1" applyFont="1" applyNumberFormat="1">
      <alignment horizontal="center" vertical="center"/>
    </xf>
    <xf borderId="2" fillId="4" fontId="2" numFmtId="1" xfId="0" applyAlignment="1" applyBorder="1" applyFont="1" applyNumberFormat="1">
      <alignment horizontal="center" shrinkToFit="0" vertical="center" wrapText="1"/>
    </xf>
    <xf borderId="2" fillId="2" fontId="2" numFmtId="1" xfId="0" applyAlignment="1" applyBorder="1" applyFont="1" applyNumberFormat="1">
      <alignment horizontal="center" shrinkToFit="0" vertical="center" wrapText="1"/>
    </xf>
    <xf borderId="2" fillId="4" fontId="2" numFmtId="0" xfId="0" applyAlignment="1" applyBorder="1" applyFont="1">
      <alignment horizontal="center" vertical="center"/>
    </xf>
    <xf borderId="2" fillId="3" fontId="2" numFmtId="1" xfId="0" applyAlignment="1" applyBorder="1" applyFont="1" applyNumberFormat="1">
      <alignment horizontal="center" shrinkToFit="0" vertical="center" wrapText="1"/>
    </xf>
    <xf borderId="1" fillId="4" fontId="2" numFmtId="1" xfId="0" applyAlignment="1" applyBorder="1" applyFont="1" applyNumberFormat="1">
      <alignment horizontal="center" shrinkToFit="0" vertical="center" wrapText="1"/>
    </xf>
    <xf borderId="2" fillId="4" fontId="4" numFmtId="0" xfId="0" applyAlignment="1" applyBorder="1" applyFont="1">
      <alignment horizontal="center"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14.38"/>
    <col customWidth="1" min="2" max="2" width="4.25"/>
    <col customWidth="1" min="3" max="3" width="9.13"/>
    <col customWidth="1" min="4" max="4" width="4.25"/>
    <col customWidth="1" min="5" max="5" width="9.88"/>
    <col customWidth="1" min="6" max="6" width="27.0"/>
    <col customWidth="1" min="7" max="7" width="8.25"/>
    <col customWidth="1" min="8" max="8" width="7.88"/>
    <col customWidth="1" min="9" max="9" width="8.0"/>
    <col customWidth="1" min="10" max="10" width="8.63"/>
    <col customWidth="1" min="11" max="11" width="3.88"/>
    <col customWidth="1" min="12" max="12" width="4.25"/>
    <col customWidth="1" min="13" max="13" width="4.13"/>
    <col customWidth="1" min="14" max="14" width="4.25"/>
    <col customWidth="1" min="15" max="15" width="7.88"/>
    <col customWidth="1" min="16" max="16" width="8.63"/>
    <col customWidth="1" min="17" max="17" width="7.75"/>
    <col customWidth="1" min="18" max="18" width="8.63"/>
    <col customWidth="1" min="19" max="19" width="4.13"/>
    <col customWidth="1" min="20" max="20" width="4.25"/>
    <col customWidth="1" min="21" max="22" width="4.13"/>
    <col customWidth="1" min="23" max="23" width="15.75"/>
    <col customWidth="1" min="24" max="24" width="16.75"/>
    <col customWidth="1" min="25" max="25" width="7.88"/>
    <col customWidth="1" min="26" max="26" width="5.0"/>
    <col customWidth="1" min="27" max="27" width="10.25"/>
    <col customWidth="1" min="28" max="28" width="9.38"/>
    <col customWidth="1" min="29" max="29" width="8.75"/>
    <col customWidth="1" min="30" max="30" width="7.88"/>
  </cols>
  <sheetData>
    <row r="1">
      <c r="A1" s="1">
        <v>2022.0</v>
      </c>
      <c r="B1" s="2"/>
      <c r="C1" s="2" t="s">
        <v>0</v>
      </c>
      <c r="D1" s="2" t="s">
        <v>1</v>
      </c>
      <c r="E1" s="2" t="s">
        <v>2</v>
      </c>
      <c r="F1" s="2" t="s">
        <v>3</v>
      </c>
      <c r="G1" s="3" t="s">
        <v>4</v>
      </c>
      <c r="H1" s="4"/>
      <c r="I1" s="3" t="s">
        <v>5</v>
      </c>
      <c r="J1" s="4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  <c r="S1" s="3" t="s">
        <v>10</v>
      </c>
      <c r="T1" s="4"/>
      <c r="U1" s="3" t="s">
        <v>11</v>
      </c>
      <c r="V1" s="4"/>
      <c r="W1" s="3" t="s">
        <v>12</v>
      </c>
      <c r="X1" s="4"/>
      <c r="Y1" s="2" t="s">
        <v>13</v>
      </c>
      <c r="Z1" s="5" t="s">
        <v>14</v>
      </c>
      <c r="AA1" s="5" t="s">
        <v>15</v>
      </c>
      <c r="AB1" s="3" t="s">
        <v>16</v>
      </c>
      <c r="AC1" s="4"/>
      <c r="AD1" s="2" t="s">
        <v>17</v>
      </c>
    </row>
    <row r="2">
      <c r="A2" s="6"/>
      <c r="B2" s="2"/>
      <c r="C2" s="2" t="s">
        <v>18</v>
      </c>
      <c r="D2" s="2"/>
      <c r="E2" s="2" t="s">
        <v>19</v>
      </c>
      <c r="F2" s="2"/>
      <c r="G2" s="2" t="s">
        <v>20</v>
      </c>
      <c r="H2" s="5" t="s">
        <v>21</v>
      </c>
      <c r="I2" s="2" t="s">
        <v>20</v>
      </c>
      <c r="J2" s="5" t="s">
        <v>21</v>
      </c>
      <c r="K2" s="2" t="s">
        <v>20</v>
      </c>
      <c r="L2" s="5" t="s">
        <v>21</v>
      </c>
      <c r="M2" s="2" t="s">
        <v>20</v>
      </c>
      <c r="N2" s="5" t="s">
        <v>21</v>
      </c>
      <c r="O2" s="2" t="s">
        <v>20</v>
      </c>
      <c r="P2" s="5" t="s">
        <v>21</v>
      </c>
      <c r="Q2" s="2" t="s">
        <v>20</v>
      </c>
      <c r="R2" s="5" t="s">
        <v>21</v>
      </c>
      <c r="S2" s="2" t="s">
        <v>20</v>
      </c>
      <c r="T2" s="5" t="s">
        <v>21</v>
      </c>
      <c r="U2" s="2" t="s">
        <v>20</v>
      </c>
      <c r="V2" s="5" t="s">
        <v>21</v>
      </c>
      <c r="W2" s="2" t="s">
        <v>20</v>
      </c>
      <c r="X2" s="5" t="s">
        <v>21</v>
      </c>
      <c r="Y2" s="2" t="s">
        <v>20</v>
      </c>
      <c r="Z2" s="5"/>
      <c r="AA2" s="5" t="s">
        <v>22</v>
      </c>
      <c r="AB2" s="2" t="s">
        <v>20</v>
      </c>
      <c r="AC2" s="5" t="s">
        <v>21</v>
      </c>
      <c r="AD2" s="2" t="s">
        <v>20</v>
      </c>
    </row>
    <row r="3">
      <c r="A3" s="7" t="s">
        <v>23</v>
      </c>
      <c r="B3" s="8" t="s">
        <v>24</v>
      </c>
      <c r="C3" s="9" t="s">
        <v>25</v>
      </c>
      <c r="D3" s="9">
        <v>547.0</v>
      </c>
      <c r="E3" s="9">
        <v>140.0</v>
      </c>
      <c r="F3" s="10" t="s">
        <v>26</v>
      </c>
      <c r="G3" s="8" t="s">
        <v>27</v>
      </c>
      <c r="H3" s="11" t="s">
        <v>28</v>
      </c>
      <c r="I3" s="8" t="s">
        <v>29</v>
      </c>
      <c r="J3" s="11" t="s">
        <v>30</v>
      </c>
      <c r="K3" s="8">
        <v>757.0</v>
      </c>
      <c r="L3" s="11">
        <f t="shared" ref="L3:L65" si="1">K3/25.4</f>
        <v>29.80314961</v>
      </c>
      <c r="M3" s="8">
        <v>634.0</v>
      </c>
      <c r="N3" s="11">
        <f t="shared" ref="N3:N65" si="2">M3/25.4</f>
        <v>24.96062992</v>
      </c>
      <c r="O3" s="8" t="s">
        <v>31</v>
      </c>
      <c r="P3" s="11" t="s">
        <v>32</v>
      </c>
      <c r="Q3" s="8" t="s">
        <v>33</v>
      </c>
      <c r="R3" s="11" t="s">
        <v>34</v>
      </c>
      <c r="S3" s="8">
        <v>432.0</v>
      </c>
      <c r="T3" s="11">
        <f t="shared" ref="T3:T65" si="3">S3/25.4</f>
        <v>17.00787402</v>
      </c>
      <c r="U3" s="8">
        <v>440.0</v>
      </c>
      <c r="V3" s="11">
        <v>17.322834645669293</v>
      </c>
      <c r="W3" s="8">
        <v>-42.0</v>
      </c>
      <c r="X3" s="11">
        <f t="shared" ref="X3:X12" si="4">W3/25.4</f>
        <v>-1.653543307</v>
      </c>
      <c r="Y3" s="8">
        <f t="shared" ref="Y3:Y12" si="5">740/2+W3</f>
        <v>328</v>
      </c>
      <c r="Z3" s="12">
        <v>65.5</v>
      </c>
      <c r="AA3" s="12">
        <v>77.0</v>
      </c>
      <c r="AB3" s="8" t="s">
        <v>35</v>
      </c>
      <c r="AC3" s="11" t="s">
        <v>36</v>
      </c>
      <c r="AD3" s="12">
        <v>110.0</v>
      </c>
    </row>
    <row r="4">
      <c r="A4" s="6"/>
      <c r="B4" s="8" t="s">
        <v>37</v>
      </c>
      <c r="C4" s="6"/>
      <c r="D4" s="6"/>
      <c r="E4" s="6"/>
      <c r="F4" s="6"/>
      <c r="G4" s="8" t="s">
        <v>38</v>
      </c>
      <c r="H4" s="11" t="s">
        <v>39</v>
      </c>
      <c r="I4" s="8" t="s">
        <v>40</v>
      </c>
      <c r="J4" s="11" t="s">
        <v>41</v>
      </c>
      <c r="K4" s="8">
        <v>788.0</v>
      </c>
      <c r="L4" s="11">
        <f t="shared" si="1"/>
        <v>31.02362205</v>
      </c>
      <c r="M4" s="8">
        <v>641.0</v>
      </c>
      <c r="N4" s="11">
        <f t="shared" si="2"/>
        <v>25.23622047</v>
      </c>
      <c r="O4" s="8" t="s">
        <v>42</v>
      </c>
      <c r="P4" s="11" t="s">
        <v>43</v>
      </c>
      <c r="Q4" s="8" t="s">
        <v>31</v>
      </c>
      <c r="R4" s="11" t="s">
        <v>32</v>
      </c>
      <c r="S4" s="8">
        <v>483.0</v>
      </c>
      <c r="T4" s="11">
        <f t="shared" si="3"/>
        <v>19.01574803</v>
      </c>
      <c r="U4" s="8">
        <v>440.0</v>
      </c>
      <c r="V4" s="11">
        <v>17.322834645669293</v>
      </c>
      <c r="W4" s="8">
        <v>-42.0</v>
      </c>
      <c r="X4" s="11">
        <f t="shared" si="4"/>
        <v>-1.653543307</v>
      </c>
      <c r="Y4" s="8">
        <f t="shared" si="5"/>
        <v>328</v>
      </c>
      <c r="Z4" s="12">
        <v>65.5</v>
      </c>
      <c r="AA4" s="12">
        <v>77.0</v>
      </c>
      <c r="AB4" s="8" t="s">
        <v>44</v>
      </c>
      <c r="AC4" s="11" t="s">
        <v>45</v>
      </c>
      <c r="AD4" s="12">
        <v>120.0</v>
      </c>
    </row>
    <row r="5">
      <c r="A5" s="13" t="s">
        <v>46</v>
      </c>
      <c r="B5" s="14" t="s">
        <v>24</v>
      </c>
      <c r="C5" s="15" t="s">
        <v>25</v>
      </c>
      <c r="D5" s="15">
        <v>567.0</v>
      </c>
      <c r="E5" s="15">
        <v>160.0</v>
      </c>
      <c r="F5" s="15" t="s">
        <v>26</v>
      </c>
      <c r="G5" s="14" t="s">
        <v>47</v>
      </c>
      <c r="H5" s="16" t="s">
        <v>48</v>
      </c>
      <c r="I5" s="14" t="s">
        <v>49</v>
      </c>
      <c r="J5" s="16" t="s">
        <v>50</v>
      </c>
      <c r="K5" s="14">
        <v>764.0</v>
      </c>
      <c r="L5" s="16">
        <f t="shared" si="1"/>
        <v>30.07874016</v>
      </c>
      <c r="M5" s="14">
        <v>641.0</v>
      </c>
      <c r="N5" s="16">
        <f t="shared" si="2"/>
        <v>25.23622047</v>
      </c>
      <c r="O5" s="14" t="s">
        <v>51</v>
      </c>
      <c r="P5" s="16" t="s">
        <v>52</v>
      </c>
      <c r="Q5" s="14" t="s">
        <v>33</v>
      </c>
      <c r="R5" s="16" t="s">
        <v>34</v>
      </c>
      <c r="S5" s="14">
        <v>432.0</v>
      </c>
      <c r="T5" s="16">
        <f t="shared" si="3"/>
        <v>17.00787402</v>
      </c>
      <c r="U5" s="14">
        <v>440.0</v>
      </c>
      <c r="V5" s="16">
        <v>17.322834645669293</v>
      </c>
      <c r="W5" s="14">
        <v>-35.0</v>
      </c>
      <c r="X5" s="16">
        <f t="shared" si="4"/>
        <v>-1.377952756</v>
      </c>
      <c r="Y5" s="14">
        <f t="shared" si="5"/>
        <v>335</v>
      </c>
      <c r="Z5" s="17">
        <v>64.5</v>
      </c>
      <c r="AA5" s="17">
        <v>76.0</v>
      </c>
      <c r="AB5" s="14" t="s">
        <v>53</v>
      </c>
      <c r="AC5" s="16" t="s">
        <v>54</v>
      </c>
      <c r="AD5" s="14">
        <v>110.0</v>
      </c>
    </row>
    <row r="6">
      <c r="A6" s="6"/>
      <c r="B6" s="14" t="s">
        <v>37</v>
      </c>
      <c r="C6" s="6"/>
      <c r="D6" s="6"/>
      <c r="E6" s="6"/>
      <c r="F6" s="6"/>
      <c r="G6" s="14" t="s">
        <v>55</v>
      </c>
      <c r="H6" s="16" t="s">
        <v>56</v>
      </c>
      <c r="I6" s="14" t="s">
        <v>57</v>
      </c>
      <c r="J6" s="16" t="s">
        <v>58</v>
      </c>
      <c r="K6" s="14">
        <v>789.0</v>
      </c>
      <c r="L6" s="16">
        <f t="shared" si="1"/>
        <v>31.06299213</v>
      </c>
      <c r="M6" s="14">
        <v>648.0</v>
      </c>
      <c r="N6" s="16">
        <f t="shared" si="2"/>
        <v>25.51181102</v>
      </c>
      <c r="O6" s="14" t="s">
        <v>59</v>
      </c>
      <c r="P6" s="16" t="s">
        <v>60</v>
      </c>
      <c r="Q6" s="14" t="s">
        <v>31</v>
      </c>
      <c r="R6" s="16" t="s">
        <v>32</v>
      </c>
      <c r="S6" s="14">
        <v>483.0</v>
      </c>
      <c r="T6" s="16">
        <f t="shared" si="3"/>
        <v>19.01574803</v>
      </c>
      <c r="U6" s="14">
        <v>440.0</v>
      </c>
      <c r="V6" s="16">
        <v>17.322834645669293</v>
      </c>
      <c r="W6" s="14">
        <v>-35.0</v>
      </c>
      <c r="X6" s="16">
        <f t="shared" si="4"/>
        <v>-1.377952756</v>
      </c>
      <c r="Y6" s="14">
        <f t="shared" si="5"/>
        <v>335</v>
      </c>
      <c r="Z6" s="17" t="s">
        <v>61</v>
      </c>
      <c r="AA6" s="17">
        <v>76.0</v>
      </c>
      <c r="AB6" s="14" t="s">
        <v>62</v>
      </c>
      <c r="AC6" s="16" t="s">
        <v>63</v>
      </c>
      <c r="AD6" s="14">
        <v>120.0</v>
      </c>
    </row>
    <row r="7">
      <c r="A7" s="7" t="s">
        <v>64</v>
      </c>
      <c r="B7" s="8" t="s">
        <v>65</v>
      </c>
      <c r="C7" s="7" t="s">
        <v>25</v>
      </c>
      <c r="D7" s="7">
        <v>547.0</v>
      </c>
      <c r="E7" s="18">
        <v>140.0</v>
      </c>
      <c r="F7" s="18" t="s">
        <v>26</v>
      </c>
      <c r="G7" s="8">
        <v>440.0</v>
      </c>
      <c r="H7" s="11">
        <f t="shared" ref="H7:H18" si="6">G7/25.4</f>
        <v>17.32283465</v>
      </c>
      <c r="I7" s="8">
        <v>756.0</v>
      </c>
      <c r="J7" s="11">
        <f t="shared" ref="J7:J65" si="7">I7/25.4</f>
        <v>29.76377953</v>
      </c>
      <c r="K7" s="8">
        <f>405+Y7</f>
        <v>733</v>
      </c>
      <c r="L7" s="11">
        <f t="shared" si="1"/>
        <v>28.85826772</v>
      </c>
      <c r="M7" s="8">
        <v>623.0</v>
      </c>
      <c r="N7" s="11">
        <f t="shared" si="2"/>
        <v>24.52755906</v>
      </c>
      <c r="O7" s="8">
        <v>583.0</v>
      </c>
      <c r="P7" s="11">
        <f t="shared" ref="P7:P65" si="8">O7/25.4</f>
        <v>22.95275591</v>
      </c>
      <c r="Q7" s="8">
        <v>553.0</v>
      </c>
      <c r="R7" s="11">
        <f t="shared" ref="R7:R65" si="9">Q7/25.4</f>
        <v>21.77165354</v>
      </c>
      <c r="S7" s="8">
        <v>396.0</v>
      </c>
      <c r="T7" s="11">
        <f t="shared" si="3"/>
        <v>15.59055118</v>
      </c>
      <c r="U7" s="8">
        <v>440.0</v>
      </c>
      <c r="V7" s="11">
        <f t="shared" ref="V7:V18" si="10">U7/25.4</f>
        <v>17.32283465</v>
      </c>
      <c r="W7" s="8">
        <v>-42.0</v>
      </c>
      <c r="X7" s="11">
        <f t="shared" si="4"/>
        <v>-1.653543307</v>
      </c>
      <c r="Y7" s="8">
        <f t="shared" si="5"/>
        <v>328</v>
      </c>
      <c r="Z7" s="12">
        <v>65.5</v>
      </c>
      <c r="AA7" s="12">
        <v>77.0</v>
      </c>
      <c r="AB7" s="8">
        <v>1193.0</v>
      </c>
      <c r="AC7" s="11">
        <f t="shared" ref="AC7:AC18" si="11">AB7/25.4</f>
        <v>46.96850394</v>
      </c>
      <c r="AD7" s="8">
        <v>110.0</v>
      </c>
    </row>
    <row r="8">
      <c r="A8" s="19"/>
      <c r="B8" s="8" t="s">
        <v>24</v>
      </c>
      <c r="C8" s="19"/>
      <c r="D8" s="19"/>
      <c r="E8" s="19"/>
      <c r="F8" s="19"/>
      <c r="G8" s="8">
        <v>470.0</v>
      </c>
      <c r="H8" s="11">
        <f t="shared" si="6"/>
        <v>18.50393701</v>
      </c>
      <c r="I8" s="8">
        <v>790.0</v>
      </c>
      <c r="J8" s="11">
        <f t="shared" si="7"/>
        <v>31.1023622</v>
      </c>
      <c r="K8" s="8">
        <f>401+Y8</f>
        <v>729</v>
      </c>
      <c r="L8" s="11">
        <f t="shared" si="1"/>
        <v>28.7007874</v>
      </c>
      <c r="M8" s="8">
        <v>632.0</v>
      </c>
      <c r="N8" s="11">
        <f t="shared" si="2"/>
        <v>24.88188976</v>
      </c>
      <c r="O8" s="8">
        <v>616.0</v>
      </c>
      <c r="P8" s="11">
        <f t="shared" si="8"/>
        <v>24.2519685</v>
      </c>
      <c r="Q8" s="8">
        <v>582.0</v>
      </c>
      <c r="R8" s="11">
        <f t="shared" si="9"/>
        <v>22.91338583</v>
      </c>
      <c r="S8" s="8">
        <v>432.0</v>
      </c>
      <c r="T8" s="11">
        <f t="shared" si="3"/>
        <v>17.00787402</v>
      </c>
      <c r="U8" s="8">
        <v>440.0</v>
      </c>
      <c r="V8" s="11">
        <f t="shared" si="10"/>
        <v>17.32283465</v>
      </c>
      <c r="W8" s="8">
        <v>-42.0</v>
      </c>
      <c r="X8" s="11">
        <f t="shared" si="4"/>
        <v>-1.653543307</v>
      </c>
      <c r="Y8" s="8">
        <f t="shared" si="5"/>
        <v>328</v>
      </c>
      <c r="Z8" s="12">
        <v>65.5</v>
      </c>
      <c r="AA8" s="12">
        <v>77.0</v>
      </c>
      <c r="AB8" s="8">
        <v>1227.0</v>
      </c>
      <c r="AC8" s="11">
        <f t="shared" si="11"/>
        <v>48.30708661</v>
      </c>
      <c r="AD8" s="8">
        <v>120.0</v>
      </c>
    </row>
    <row r="9">
      <c r="A9" s="6"/>
      <c r="B9" s="8" t="s">
        <v>37</v>
      </c>
      <c r="C9" s="6"/>
      <c r="D9" s="6"/>
      <c r="E9" s="6"/>
      <c r="F9" s="6"/>
      <c r="G9" s="8">
        <v>500.0</v>
      </c>
      <c r="H9" s="11">
        <f t="shared" si="6"/>
        <v>19.68503937</v>
      </c>
      <c r="I9" s="8">
        <v>824.0</v>
      </c>
      <c r="J9" s="11">
        <f t="shared" si="7"/>
        <v>32.44094488</v>
      </c>
      <c r="K9" s="8">
        <f>399+Y9</f>
        <v>727</v>
      </c>
      <c r="L9" s="11">
        <f t="shared" si="1"/>
        <v>28.62204724</v>
      </c>
      <c r="M9" s="8">
        <v>641.0</v>
      </c>
      <c r="N9" s="11">
        <f t="shared" si="2"/>
        <v>25.23622047</v>
      </c>
      <c r="O9" s="8">
        <v>649.0</v>
      </c>
      <c r="P9" s="11">
        <f t="shared" si="8"/>
        <v>25.5511811</v>
      </c>
      <c r="Q9" s="8">
        <v>614.0</v>
      </c>
      <c r="R9" s="11">
        <f t="shared" si="9"/>
        <v>24.17322835</v>
      </c>
      <c r="S9" s="8">
        <v>483.0</v>
      </c>
      <c r="T9" s="11">
        <f t="shared" si="3"/>
        <v>19.01574803</v>
      </c>
      <c r="U9" s="8">
        <v>440.0</v>
      </c>
      <c r="V9" s="11">
        <f t="shared" si="10"/>
        <v>17.32283465</v>
      </c>
      <c r="W9" s="8">
        <v>-42.0</v>
      </c>
      <c r="X9" s="11">
        <f t="shared" si="4"/>
        <v>-1.653543307</v>
      </c>
      <c r="Y9" s="8">
        <f t="shared" si="5"/>
        <v>328</v>
      </c>
      <c r="Z9" s="12">
        <v>65.5</v>
      </c>
      <c r="AA9" s="12">
        <v>77.0</v>
      </c>
      <c r="AB9" s="8">
        <v>1261.0</v>
      </c>
      <c r="AC9" s="11">
        <f t="shared" si="11"/>
        <v>49.64566929</v>
      </c>
      <c r="AD9" s="8">
        <v>130.0</v>
      </c>
    </row>
    <row r="10">
      <c r="A10" s="13" t="s">
        <v>66</v>
      </c>
      <c r="B10" s="14" t="s">
        <v>65</v>
      </c>
      <c r="C10" s="13" t="s">
        <v>25</v>
      </c>
      <c r="D10" s="13">
        <v>567.0</v>
      </c>
      <c r="E10" s="20">
        <v>160.0</v>
      </c>
      <c r="F10" s="20" t="s">
        <v>26</v>
      </c>
      <c r="G10" s="14">
        <v>430.0</v>
      </c>
      <c r="H10" s="16">
        <f t="shared" si="6"/>
        <v>16.92913386</v>
      </c>
      <c r="I10" s="14">
        <v>763.0</v>
      </c>
      <c r="J10" s="16">
        <f t="shared" si="7"/>
        <v>30.03937008</v>
      </c>
      <c r="K10" s="14">
        <f>411+Y10</f>
        <v>746</v>
      </c>
      <c r="L10" s="16">
        <f t="shared" si="1"/>
        <v>29.37007874</v>
      </c>
      <c r="M10" s="14">
        <v>630.0</v>
      </c>
      <c r="N10" s="16">
        <f t="shared" si="2"/>
        <v>24.80314961</v>
      </c>
      <c r="O10" s="14">
        <v>586.0</v>
      </c>
      <c r="P10" s="16">
        <f t="shared" si="8"/>
        <v>23.07086614</v>
      </c>
      <c r="Q10" s="14">
        <v>553.0</v>
      </c>
      <c r="R10" s="16">
        <f t="shared" si="9"/>
        <v>21.77165354</v>
      </c>
      <c r="S10" s="14">
        <v>396.0</v>
      </c>
      <c r="T10" s="16">
        <f t="shared" si="3"/>
        <v>15.59055118</v>
      </c>
      <c r="U10" s="14">
        <v>440.0</v>
      </c>
      <c r="V10" s="16">
        <f t="shared" si="10"/>
        <v>17.32283465</v>
      </c>
      <c r="W10" s="14">
        <v>-35.0</v>
      </c>
      <c r="X10" s="16">
        <f t="shared" si="4"/>
        <v>-1.377952756</v>
      </c>
      <c r="Y10" s="14">
        <f t="shared" si="5"/>
        <v>335</v>
      </c>
      <c r="Z10" s="17">
        <v>64.5</v>
      </c>
      <c r="AA10" s="17">
        <v>76.0</v>
      </c>
      <c r="AB10" s="14">
        <v>1201.0</v>
      </c>
      <c r="AC10" s="16">
        <f t="shared" si="11"/>
        <v>47.28346457</v>
      </c>
      <c r="AD10" s="14">
        <v>110.0</v>
      </c>
    </row>
    <row r="11">
      <c r="A11" s="19"/>
      <c r="B11" s="14" t="s">
        <v>24</v>
      </c>
      <c r="C11" s="19"/>
      <c r="D11" s="19"/>
      <c r="E11" s="19"/>
      <c r="F11" s="19"/>
      <c r="G11" s="14">
        <v>460.0</v>
      </c>
      <c r="H11" s="16">
        <f t="shared" si="6"/>
        <v>18.11023622</v>
      </c>
      <c r="I11" s="14">
        <v>798.0</v>
      </c>
      <c r="J11" s="16">
        <f t="shared" si="7"/>
        <v>31.41732283</v>
      </c>
      <c r="K11" s="14">
        <f>407+Y11</f>
        <v>742</v>
      </c>
      <c r="L11" s="16">
        <f t="shared" si="1"/>
        <v>29.21259843</v>
      </c>
      <c r="M11" s="14">
        <v>639.0</v>
      </c>
      <c r="N11" s="16">
        <f t="shared" si="2"/>
        <v>25.15748031</v>
      </c>
      <c r="O11" s="14">
        <v>619.0</v>
      </c>
      <c r="P11" s="16">
        <f t="shared" si="8"/>
        <v>24.37007874</v>
      </c>
      <c r="Q11" s="14">
        <v>582.0</v>
      </c>
      <c r="R11" s="16">
        <f t="shared" si="9"/>
        <v>22.91338583</v>
      </c>
      <c r="S11" s="14">
        <v>432.0</v>
      </c>
      <c r="T11" s="16">
        <f t="shared" si="3"/>
        <v>17.00787402</v>
      </c>
      <c r="U11" s="14">
        <v>440.0</v>
      </c>
      <c r="V11" s="16">
        <f t="shared" si="10"/>
        <v>17.32283465</v>
      </c>
      <c r="W11" s="14">
        <v>-35.0</v>
      </c>
      <c r="X11" s="16">
        <f t="shared" si="4"/>
        <v>-1.377952756</v>
      </c>
      <c r="Y11" s="14">
        <f t="shared" si="5"/>
        <v>335</v>
      </c>
      <c r="Z11" s="17">
        <v>64.5</v>
      </c>
      <c r="AA11" s="17">
        <v>76.0</v>
      </c>
      <c r="AB11" s="14">
        <v>1236.0</v>
      </c>
      <c r="AC11" s="16">
        <f t="shared" si="11"/>
        <v>48.66141732</v>
      </c>
      <c r="AD11" s="14">
        <v>120.0</v>
      </c>
    </row>
    <row r="12">
      <c r="A12" s="6"/>
      <c r="B12" s="14" t="s">
        <v>37</v>
      </c>
      <c r="C12" s="6"/>
      <c r="D12" s="6"/>
      <c r="E12" s="6"/>
      <c r="F12" s="6"/>
      <c r="G12" s="14">
        <v>490.0</v>
      </c>
      <c r="H12" s="16">
        <f t="shared" si="6"/>
        <v>19.29133858</v>
      </c>
      <c r="I12" s="14">
        <v>832.0</v>
      </c>
      <c r="J12" s="16">
        <f t="shared" si="7"/>
        <v>32.75590551</v>
      </c>
      <c r="K12" s="14">
        <f>404+Y12</f>
        <v>739</v>
      </c>
      <c r="L12" s="16">
        <f t="shared" si="1"/>
        <v>29.09448819</v>
      </c>
      <c r="M12" s="14">
        <v>648.0</v>
      </c>
      <c r="N12" s="16">
        <f t="shared" si="2"/>
        <v>25.51181102</v>
      </c>
      <c r="O12" s="14">
        <v>652.0</v>
      </c>
      <c r="P12" s="16">
        <f t="shared" si="8"/>
        <v>25.66929134</v>
      </c>
      <c r="Q12" s="14">
        <v>614.0</v>
      </c>
      <c r="R12" s="16">
        <f t="shared" si="9"/>
        <v>24.17322835</v>
      </c>
      <c r="S12" s="14">
        <v>483.0</v>
      </c>
      <c r="T12" s="16">
        <f t="shared" si="3"/>
        <v>19.01574803</v>
      </c>
      <c r="U12" s="14">
        <v>440.0</v>
      </c>
      <c r="V12" s="16">
        <f t="shared" si="10"/>
        <v>17.32283465</v>
      </c>
      <c r="W12" s="14">
        <v>-35.0</v>
      </c>
      <c r="X12" s="16">
        <f t="shared" si="4"/>
        <v>-1.377952756</v>
      </c>
      <c r="Y12" s="14">
        <f t="shared" si="5"/>
        <v>335</v>
      </c>
      <c r="Z12" s="17">
        <v>64.5</v>
      </c>
      <c r="AA12" s="17">
        <v>76.0</v>
      </c>
      <c r="AB12" s="14">
        <v>1270.0</v>
      </c>
      <c r="AC12" s="16">
        <f t="shared" si="11"/>
        <v>50</v>
      </c>
      <c r="AD12" s="14">
        <v>130.0</v>
      </c>
    </row>
    <row r="13">
      <c r="A13" s="7" t="s">
        <v>67</v>
      </c>
      <c r="B13" s="8" t="s">
        <v>65</v>
      </c>
      <c r="C13" s="7" t="s">
        <v>68</v>
      </c>
      <c r="D13" s="7">
        <v>596.0</v>
      </c>
      <c r="E13" s="18">
        <v>180.0</v>
      </c>
      <c r="F13" s="18" t="s">
        <v>69</v>
      </c>
      <c r="G13" s="8">
        <v>430.0</v>
      </c>
      <c r="H13" s="11">
        <f t="shared" si="6"/>
        <v>16.92913386</v>
      </c>
      <c r="I13" s="8">
        <v>781.2</v>
      </c>
      <c r="J13" s="11">
        <f t="shared" si="7"/>
        <v>30.75590551</v>
      </c>
      <c r="K13" s="8">
        <f>415.7+Y13</f>
        <v>764.6</v>
      </c>
      <c r="L13" s="11">
        <f t="shared" si="1"/>
        <v>30.1023622</v>
      </c>
      <c r="M13" s="8">
        <v>644.3</v>
      </c>
      <c r="N13" s="11">
        <f t="shared" si="2"/>
        <v>25.36614173</v>
      </c>
      <c r="O13" s="8">
        <v>591.9</v>
      </c>
      <c r="P13" s="11">
        <f t="shared" si="8"/>
        <v>23.30314961</v>
      </c>
      <c r="Q13" s="8">
        <v>559.0</v>
      </c>
      <c r="R13" s="11">
        <f t="shared" si="9"/>
        <v>22.00787402</v>
      </c>
      <c r="S13" s="8">
        <v>396.0</v>
      </c>
      <c r="T13" s="11">
        <f t="shared" si="3"/>
        <v>15.59055118</v>
      </c>
      <c r="U13" s="8">
        <v>438.0</v>
      </c>
      <c r="V13" s="11">
        <f t="shared" si="10"/>
        <v>17.24409449</v>
      </c>
      <c r="W13" s="21" t="s">
        <v>70</v>
      </c>
      <c r="X13" s="22" t="s">
        <v>71</v>
      </c>
      <c r="Y13" s="8">
        <v>348.9</v>
      </c>
      <c r="Z13" s="12">
        <v>64.0</v>
      </c>
      <c r="AA13" s="12">
        <v>76.0</v>
      </c>
      <c r="AB13" s="8">
        <v>1218.4</v>
      </c>
      <c r="AC13" s="11">
        <f t="shared" si="11"/>
        <v>47.96850394</v>
      </c>
      <c r="AD13" s="8">
        <v>100.0</v>
      </c>
    </row>
    <row r="14">
      <c r="A14" s="19"/>
      <c r="B14" s="8" t="s">
        <v>24</v>
      </c>
      <c r="C14" s="19"/>
      <c r="D14" s="19"/>
      <c r="E14" s="19"/>
      <c r="F14" s="19"/>
      <c r="G14" s="8">
        <v>460.0</v>
      </c>
      <c r="H14" s="11">
        <f t="shared" si="6"/>
        <v>18.11023622</v>
      </c>
      <c r="I14" s="8">
        <v>811.2</v>
      </c>
      <c r="J14" s="11">
        <f t="shared" si="7"/>
        <v>31.93700787</v>
      </c>
      <c r="K14" s="8">
        <f>408+Y14</f>
        <v>756.9</v>
      </c>
      <c r="L14" s="11">
        <f t="shared" si="1"/>
        <v>29.7992126</v>
      </c>
      <c r="M14" s="8">
        <v>644.3</v>
      </c>
      <c r="N14" s="11">
        <f t="shared" si="2"/>
        <v>25.36614173</v>
      </c>
      <c r="O14" s="8">
        <v>623.9</v>
      </c>
      <c r="P14" s="11">
        <f t="shared" si="8"/>
        <v>24.56299213</v>
      </c>
      <c r="Q14" s="8">
        <v>584.4</v>
      </c>
      <c r="R14" s="11">
        <f t="shared" si="9"/>
        <v>23.00787402</v>
      </c>
      <c r="S14" s="8">
        <v>432.0</v>
      </c>
      <c r="T14" s="11">
        <f t="shared" si="3"/>
        <v>17.00787402</v>
      </c>
      <c r="U14" s="8">
        <v>438.0</v>
      </c>
      <c r="V14" s="11">
        <f t="shared" si="10"/>
        <v>17.24409449</v>
      </c>
      <c r="W14" s="21" t="s">
        <v>70</v>
      </c>
      <c r="X14" s="22" t="s">
        <v>71</v>
      </c>
      <c r="Y14" s="8">
        <v>348.9</v>
      </c>
      <c r="Z14" s="12">
        <v>64.0</v>
      </c>
      <c r="AA14" s="12">
        <v>76.0</v>
      </c>
      <c r="AB14" s="8">
        <v>1248.0</v>
      </c>
      <c r="AC14" s="11">
        <f t="shared" si="11"/>
        <v>49.13385827</v>
      </c>
      <c r="AD14" s="8">
        <v>110.0</v>
      </c>
    </row>
    <row r="15">
      <c r="A15" s="6"/>
      <c r="B15" s="8" t="s">
        <v>37</v>
      </c>
      <c r="C15" s="6"/>
      <c r="D15" s="6"/>
      <c r="E15" s="6"/>
      <c r="F15" s="6"/>
      <c r="G15" s="8">
        <v>490.0</v>
      </c>
      <c r="H15" s="11">
        <f t="shared" si="6"/>
        <v>19.29133858</v>
      </c>
      <c r="I15" s="8">
        <v>845.6</v>
      </c>
      <c r="J15" s="11">
        <f t="shared" si="7"/>
        <v>33.29133858</v>
      </c>
      <c r="K15" s="8">
        <f>403+Y15</f>
        <v>751.9</v>
      </c>
      <c r="L15" s="11">
        <f t="shared" si="1"/>
        <v>29.6023622</v>
      </c>
      <c r="M15" s="8">
        <v>653.2</v>
      </c>
      <c r="N15" s="11">
        <f t="shared" si="2"/>
        <v>25.71653543</v>
      </c>
      <c r="O15" s="8">
        <v>654.3</v>
      </c>
      <c r="P15" s="11">
        <f t="shared" si="8"/>
        <v>25.75984252</v>
      </c>
      <c r="Q15" s="8">
        <v>615.7</v>
      </c>
      <c r="R15" s="11">
        <f t="shared" si="9"/>
        <v>24.24015748</v>
      </c>
      <c r="S15" s="8">
        <v>483.0</v>
      </c>
      <c r="T15" s="11">
        <f t="shared" si="3"/>
        <v>19.01574803</v>
      </c>
      <c r="U15" s="8">
        <v>438.0</v>
      </c>
      <c r="V15" s="11">
        <f t="shared" si="10"/>
        <v>17.24409449</v>
      </c>
      <c r="W15" s="21" t="s">
        <v>70</v>
      </c>
      <c r="X15" s="22" t="s">
        <v>71</v>
      </c>
      <c r="Y15" s="8">
        <v>348.9</v>
      </c>
      <c r="Z15" s="12">
        <v>64.0</v>
      </c>
      <c r="AA15" s="12">
        <v>76.0</v>
      </c>
      <c r="AB15" s="8">
        <v>1284.0</v>
      </c>
      <c r="AC15" s="11">
        <f t="shared" si="11"/>
        <v>50.5511811</v>
      </c>
      <c r="AD15" s="8">
        <v>120.0</v>
      </c>
    </row>
    <row r="16">
      <c r="A16" s="13" t="s">
        <v>72</v>
      </c>
      <c r="B16" s="14" t="s">
        <v>65</v>
      </c>
      <c r="C16" s="15" t="s">
        <v>73</v>
      </c>
      <c r="D16" s="15">
        <v>552.0</v>
      </c>
      <c r="E16" s="15">
        <v>160.0</v>
      </c>
      <c r="F16" s="15" t="s">
        <v>74</v>
      </c>
      <c r="G16" s="14">
        <v>440.0</v>
      </c>
      <c r="H16" s="16">
        <f t="shared" si="6"/>
        <v>17.32283465</v>
      </c>
      <c r="I16" s="14">
        <v>759.8</v>
      </c>
      <c r="J16" s="16">
        <f t="shared" si="7"/>
        <v>29.91338583</v>
      </c>
      <c r="K16" s="14">
        <f>400+Y16</f>
        <v>743.1</v>
      </c>
      <c r="L16" s="16">
        <f t="shared" si="1"/>
        <v>29.25590551</v>
      </c>
      <c r="M16" s="14">
        <v>593.7</v>
      </c>
      <c r="N16" s="16">
        <f t="shared" si="2"/>
        <v>23.37401575</v>
      </c>
      <c r="O16" s="14">
        <v>582.6</v>
      </c>
      <c r="P16" s="16">
        <f t="shared" si="8"/>
        <v>22.93700787</v>
      </c>
      <c r="Q16" s="14">
        <v>547.8</v>
      </c>
      <c r="R16" s="16">
        <f t="shared" si="9"/>
        <v>21.56692913</v>
      </c>
      <c r="S16" s="14">
        <v>395.5</v>
      </c>
      <c r="T16" s="16">
        <f t="shared" si="3"/>
        <v>15.57086614</v>
      </c>
      <c r="U16" s="14">
        <v>438.0</v>
      </c>
      <c r="V16" s="16">
        <f t="shared" si="10"/>
        <v>17.24409449</v>
      </c>
      <c r="W16" s="14">
        <v>-9.4</v>
      </c>
      <c r="X16" s="16">
        <f t="shared" ref="X16:X65" si="12">W16/25.4</f>
        <v>-0.3700787402</v>
      </c>
      <c r="Y16" s="14">
        <f t="shared" ref="Y16:Y18" si="13">705/2+W16</f>
        <v>343.1</v>
      </c>
      <c r="Z16" s="17">
        <v>64.5</v>
      </c>
      <c r="AA16" s="17">
        <v>76.5</v>
      </c>
      <c r="AB16" s="14">
        <v>1197.7</v>
      </c>
      <c r="AC16" s="16">
        <f t="shared" si="11"/>
        <v>47.15354331</v>
      </c>
      <c r="AD16" s="14">
        <v>110.0</v>
      </c>
    </row>
    <row r="17">
      <c r="A17" s="19"/>
      <c r="B17" s="14" t="s">
        <v>24</v>
      </c>
      <c r="C17" s="19"/>
      <c r="D17" s="19"/>
      <c r="E17" s="19"/>
      <c r="F17" s="19"/>
      <c r="G17" s="14">
        <v>470.0</v>
      </c>
      <c r="H17" s="16">
        <f t="shared" si="6"/>
        <v>18.50393701</v>
      </c>
      <c r="I17" s="14">
        <v>794.1</v>
      </c>
      <c r="J17" s="16">
        <f t="shared" si="7"/>
        <v>31.26377953</v>
      </c>
      <c r="K17" s="14">
        <f>399+Y17</f>
        <v>742.1</v>
      </c>
      <c r="L17" s="16">
        <f t="shared" si="1"/>
        <v>29.21653543</v>
      </c>
      <c r="M17" s="14">
        <v>602.7</v>
      </c>
      <c r="N17" s="16">
        <f t="shared" si="2"/>
        <v>23.72834646</v>
      </c>
      <c r="O17" s="14">
        <v>615.9</v>
      </c>
      <c r="P17" s="16">
        <f t="shared" si="8"/>
        <v>24.2480315</v>
      </c>
      <c r="Q17" s="14">
        <v>579.2</v>
      </c>
      <c r="R17" s="16">
        <f t="shared" si="9"/>
        <v>22.80314961</v>
      </c>
      <c r="S17" s="14">
        <v>432.0</v>
      </c>
      <c r="T17" s="16">
        <f t="shared" si="3"/>
        <v>17.00787402</v>
      </c>
      <c r="U17" s="14">
        <v>438.0</v>
      </c>
      <c r="V17" s="16">
        <f t="shared" si="10"/>
        <v>17.24409449</v>
      </c>
      <c r="W17" s="14">
        <v>-9.4</v>
      </c>
      <c r="X17" s="16">
        <f t="shared" si="12"/>
        <v>-0.3700787402</v>
      </c>
      <c r="Y17" s="14">
        <f t="shared" si="13"/>
        <v>343.1</v>
      </c>
      <c r="Z17" s="17">
        <v>64.5</v>
      </c>
      <c r="AA17" s="17">
        <v>76.5</v>
      </c>
      <c r="AB17" s="14">
        <v>1232.0</v>
      </c>
      <c r="AC17" s="16">
        <f t="shared" si="11"/>
        <v>48.50393701</v>
      </c>
      <c r="AD17" s="14">
        <v>120.0</v>
      </c>
    </row>
    <row r="18">
      <c r="A18" s="6"/>
      <c r="B18" s="14" t="s">
        <v>37</v>
      </c>
      <c r="C18" s="6"/>
      <c r="D18" s="6"/>
      <c r="E18" s="6"/>
      <c r="F18" s="6"/>
      <c r="G18" s="14">
        <v>500.0</v>
      </c>
      <c r="H18" s="16">
        <f t="shared" si="6"/>
        <v>19.68503937</v>
      </c>
      <c r="I18" s="14">
        <v>828.4</v>
      </c>
      <c r="J18" s="16">
        <f t="shared" si="7"/>
        <v>32.61417323</v>
      </c>
      <c r="K18" s="14">
        <f>396+Y18</f>
        <v>739.1</v>
      </c>
      <c r="L18" s="16">
        <f t="shared" si="1"/>
        <v>29.0984252</v>
      </c>
      <c r="M18" s="14">
        <v>611.8</v>
      </c>
      <c r="N18" s="16">
        <f t="shared" si="2"/>
        <v>24.08661417</v>
      </c>
      <c r="O18" s="14">
        <v>649.2</v>
      </c>
      <c r="P18" s="16">
        <f t="shared" si="8"/>
        <v>25.55905512</v>
      </c>
      <c r="Q18" s="14">
        <v>614.6</v>
      </c>
      <c r="R18" s="16">
        <f t="shared" si="9"/>
        <v>24.19685039</v>
      </c>
      <c r="S18" s="14">
        <v>483.4</v>
      </c>
      <c r="T18" s="16">
        <f t="shared" si="3"/>
        <v>19.03149606</v>
      </c>
      <c r="U18" s="14">
        <v>438.0</v>
      </c>
      <c r="V18" s="16">
        <f t="shared" si="10"/>
        <v>17.24409449</v>
      </c>
      <c r="W18" s="14">
        <v>-9.4</v>
      </c>
      <c r="X18" s="16">
        <f t="shared" si="12"/>
        <v>-0.3700787402</v>
      </c>
      <c r="Y18" s="14">
        <f t="shared" si="13"/>
        <v>343.1</v>
      </c>
      <c r="Z18" s="17">
        <v>64.5</v>
      </c>
      <c r="AA18" s="17">
        <v>76.5</v>
      </c>
      <c r="AB18" s="14">
        <v>1266.4</v>
      </c>
      <c r="AC18" s="16">
        <f t="shared" si="11"/>
        <v>49.85826772</v>
      </c>
      <c r="AD18" s="14">
        <v>130.0</v>
      </c>
    </row>
    <row r="19">
      <c r="A19" s="7" t="s">
        <v>75</v>
      </c>
      <c r="B19" s="8" t="s">
        <v>24</v>
      </c>
      <c r="C19" s="9">
        <v>27.5</v>
      </c>
      <c r="D19" s="9">
        <v>587.0</v>
      </c>
      <c r="E19" s="9">
        <v>200.0</v>
      </c>
      <c r="F19" s="9" t="s">
        <v>76</v>
      </c>
      <c r="G19" s="8" t="s">
        <v>77</v>
      </c>
      <c r="H19" s="11" t="s">
        <v>78</v>
      </c>
      <c r="I19" s="8">
        <v>809.0</v>
      </c>
      <c r="J19" s="11">
        <f t="shared" si="7"/>
        <v>31.8503937</v>
      </c>
      <c r="K19" s="8">
        <f>339.2+Y19</f>
        <v>689.2</v>
      </c>
      <c r="L19" s="11">
        <f t="shared" si="1"/>
        <v>27.13385827</v>
      </c>
      <c r="M19" s="8">
        <v>604.0</v>
      </c>
      <c r="N19" s="11">
        <f t="shared" si="2"/>
        <v>23.77952756</v>
      </c>
      <c r="O19" s="8">
        <v>631.0</v>
      </c>
      <c r="P19" s="11">
        <f t="shared" si="8"/>
        <v>24.84251969</v>
      </c>
      <c r="Q19" s="8">
        <v>559.0</v>
      </c>
      <c r="R19" s="11">
        <f t="shared" si="9"/>
        <v>22.00787402</v>
      </c>
      <c r="S19" s="8">
        <v>400.0</v>
      </c>
      <c r="T19" s="11">
        <f t="shared" si="3"/>
        <v>15.7480315</v>
      </c>
      <c r="U19" s="8">
        <v>447.0</v>
      </c>
      <c r="V19" s="11" t="s">
        <v>79</v>
      </c>
      <c r="W19" s="8">
        <v>-5.0</v>
      </c>
      <c r="X19" s="11">
        <f t="shared" si="12"/>
        <v>-0.1968503937</v>
      </c>
      <c r="Y19" s="8">
        <f t="shared" ref="Y19:Y20" si="14">710/2+W19</f>
        <v>350</v>
      </c>
      <c r="Z19" s="12">
        <v>63.0</v>
      </c>
      <c r="AA19" s="12">
        <v>73.0</v>
      </c>
      <c r="AB19" s="8">
        <v>1256.0</v>
      </c>
      <c r="AC19" s="11" t="s">
        <v>80</v>
      </c>
      <c r="AD19" s="23">
        <v>110.0</v>
      </c>
    </row>
    <row r="20">
      <c r="A20" s="6"/>
      <c r="B20" s="8" t="s">
        <v>37</v>
      </c>
      <c r="C20" s="6"/>
      <c r="D20" s="6"/>
      <c r="E20" s="6"/>
      <c r="F20" s="6"/>
      <c r="G20" s="8" t="s">
        <v>81</v>
      </c>
      <c r="H20" s="11" t="s">
        <v>82</v>
      </c>
      <c r="I20" s="8">
        <v>834.0</v>
      </c>
      <c r="J20" s="11">
        <f t="shared" si="7"/>
        <v>32.83464567</v>
      </c>
      <c r="K20" s="8">
        <f>338.2+Y20</f>
        <v>688.2</v>
      </c>
      <c r="L20" s="11">
        <f t="shared" si="1"/>
        <v>27.09448819</v>
      </c>
      <c r="M20" s="8">
        <v>613.0</v>
      </c>
      <c r="N20" s="11">
        <f t="shared" si="2"/>
        <v>24.13385827</v>
      </c>
      <c r="O20" s="8">
        <v>655.0</v>
      </c>
      <c r="P20" s="11">
        <f t="shared" si="8"/>
        <v>25.78740157</v>
      </c>
      <c r="Q20" s="8">
        <v>582.0</v>
      </c>
      <c r="R20" s="11">
        <f t="shared" si="9"/>
        <v>22.91338583</v>
      </c>
      <c r="S20" s="8">
        <v>411.0</v>
      </c>
      <c r="T20" s="11">
        <f t="shared" si="3"/>
        <v>16.18110236</v>
      </c>
      <c r="U20" s="8">
        <v>454.0</v>
      </c>
      <c r="V20" s="11" t="s">
        <v>83</v>
      </c>
      <c r="W20" s="8">
        <v>-5.0</v>
      </c>
      <c r="X20" s="11">
        <f t="shared" si="12"/>
        <v>-0.1968503937</v>
      </c>
      <c r="Y20" s="8">
        <f t="shared" si="14"/>
        <v>350</v>
      </c>
      <c r="Z20" s="12">
        <v>63.0</v>
      </c>
      <c r="AA20" s="12">
        <v>73.0</v>
      </c>
      <c r="AB20" s="8">
        <v>1288.0</v>
      </c>
      <c r="AC20" s="11" t="s">
        <v>84</v>
      </c>
      <c r="AD20" s="8">
        <v>120.0</v>
      </c>
    </row>
    <row r="21" ht="15.75" customHeight="1">
      <c r="A21" s="24" t="s">
        <v>85</v>
      </c>
      <c r="B21" s="25" t="s">
        <v>24</v>
      </c>
      <c r="C21" s="26" t="s">
        <v>25</v>
      </c>
      <c r="D21" s="26">
        <v>615.0</v>
      </c>
      <c r="E21" s="26">
        <v>200.0</v>
      </c>
      <c r="F21" s="26" t="s">
        <v>26</v>
      </c>
      <c r="G21" s="25" t="s">
        <v>86</v>
      </c>
      <c r="H21" s="27" t="s">
        <v>87</v>
      </c>
      <c r="I21" s="25">
        <v>820.0</v>
      </c>
      <c r="J21" s="27">
        <f t="shared" si="7"/>
        <v>32.28346457</v>
      </c>
      <c r="K21" s="25">
        <f>359.5+Y21</f>
        <v>718.5</v>
      </c>
      <c r="L21" s="27">
        <f t="shared" si="1"/>
        <v>28.28740157</v>
      </c>
      <c r="M21" s="25">
        <v>628.0</v>
      </c>
      <c r="N21" s="27">
        <f t="shared" si="2"/>
        <v>24.72440945</v>
      </c>
      <c r="O21" s="25">
        <v>649.0</v>
      </c>
      <c r="P21" s="27">
        <f t="shared" si="8"/>
        <v>25.5511811</v>
      </c>
      <c r="Q21" s="25">
        <v>577.0</v>
      </c>
      <c r="R21" s="27">
        <f t="shared" si="9"/>
        <v>22.71653543</v>
      </c>
      <c r="S21" s="25">
        <v>402.0</v>
      </c>
      <c r="T21" s="27">
        <f t="shared" si="3"/>
        <v>15.82677165</v>
      </c>
      <c r="U21" s="25">
        <v>455.0</v>
      </c>
      <c r="V21" s="27">
        <f t="shared" ref="V21:V65" si="15">U21/25.4</f>
        <v>17.91338583</v>
      </c>
      <c r="W21" s="25">
        <v>-16.0</v>
      </c>
      <c r="X21" s="27">
        <f t="shared" si="12"/>
        <v>-0.6299212598</v>
      </c>
      <c r="Y21" s="25">
        <f t="shared" ref="Y21:Y22" si="16">750/2+W21</f>
        <v>359</v>
      </c>
      <c r="Z21" s="28">
        <v>63.0</v>
      </c>
      <c r="AA21" s="28">
        <v>72.0</v>
      </c>
      <c r="AB21" s="25">
        <v>1275.0</v>
      </c>
      <c r="AC21" s="27">
        <f t="shared" ref="AC21:AC65" si="17">AB21/25.4</f>
        <v>50.19685039</v>
      </c>
      <c r="AD21" s="25">
        <v>100.0</v>
      </c>
    </row>
    <row r="22" ht="15.75" customHeight="1">
      <c r="A22" s="6"/>
      <c r="B22" s="25" t="s">
        <v>37</v>
      </c>
      <c r="C22" s="6"/>
      <c r="D22" s="6"/>
      <c r="E22" s="6"/>
      <c r="F22" s="6"/>
      <c r="G22" s="25" t="s">
        <v>88</v>
      </c>
      <c r="H22" s="27" t="s">
        <v>89</v>
      </c>
      <c r="I22" s="25">
        <v>849.0</v>
      </c>
      <c r="J22" s="27">
        <f t="shared" si="7"/>
        <v>33.42519685</v>
      </c>
      <c r="K22" s="25">
        <f>361.3+Y22</f>
        <v>720.3</v>
      </c>
      <c r="L22" s="27">
        <f t="shared" si="1"/>
        <v>28.35826772</v>
      </c>
      <c r="M22" s="25">
        <v>637.0</v>
      </c>
      <c r="N22" s="27">
        <f t="shared" si="2"/>
        <v>25.07874016</v>
      </c>
      <c r="O22" s="25">
        <v>678.0</v>
      </c>
      <c r="P22" s="27">
        <f t="shared" si="8"/>
        <v>26.69291339</v>
      </c>
      <c r="Q22" s="25">
        <v>603.0</v>
      </c>
      <c r="R22" s="27">
        <f t="shared" si="9"/>
        <v>23.74015748</v>
      </c>
      <c r="S22" s="25">
        <v>402.0</v>
      </c>
      <c r="T22" s="27">
        <f t="shared" si="3"/>
        <v>15.82677165</v>
      </c>
      <c r="U22" s="25">
        <v>455.0</v>
      </c>
      <c r="V22" s="27">
        <f t="shared" si="15"/>
        <v>17.91338583</v>
      </c>
      <c r="W22" s="25">
        <v>-16.0</v>
      </c>
      <c r="X22" s="27">
        <f t="shared" si="12"/>
        <v>-0.6299212598</v>
      </c>
      <c r="Y22" s="25">
        <f t="shared" si="16"/>
        <v>359</v>
      </c>
      <c r="Z22" s="28">
        <v>63.0</v>
      </c>
      <c r="AA22" s="28">
        <v>72.0</v>
      </c>
      <c r="AB22" s="25">
        <v>1304.0</v>
      </c>
      <c r="AC22" s="27">
        <f t="shared" si="17"/>
        <v>51.33858268</v>
      </c>
      <c r="AD22" s="25">
        <v>110.0</v>
      </c>
    </row>
    <row r="23" ht="15.75" customHeight="1">
      <c r="A23" s="9" t="s">
        <v>90</v>
      </c>
      <c r="B23" s="8" t="s">
        <v>91</v>
      </c>
      <c r="C23" s="22" t="s">
        <v>92</v>
      </c>
      <c r="D23" s="7">
        <v>505.5</v>
      </c>
      <c r="E23" s="9" t="s">
        <v>93</v>
      </c>
      <c r="F23" s="22" t="s">
        <v>94</v>
      </c>
      <c r="G23" s="8">
        <f>385+5</f>
        <v>390</v>
      </c>
      <c r="H23" s="11">
        <f t="shared" ref="H23:H49" si="18">G23/25.4</f>
        <v>15.35433071</v>
      </c>
      <c r="I23" s="8">
        <f t="shared" ref="I23:I24" si="19">665+5</f>
        <v>670</v>
      </c>
      <c r="J23" s="11">
        <f t="shared" si="7"/>
        <v>26.37795276</v>
      </c>
      <c r="K23" s="8">
        <f>341.2+Y23</f>
        <v>652.2</v>
      </c>
      <c r="L23" s="11">
        <f t="shared" si="1"/>
        <v>25.67716535</v>
      </c>
      <c r="M23" s="8">
        <v>547.0</v>
      </c>
      <c r="N23" s="11">
        <f t="shared" si="2"/>
        <v>21.53543307</v>
      </c>
      <c r="O23" s="8">
        <f>525+5</f>
        <v>530</v>
      </c>
      <c r="P23" s="11">
        <f t="shared" si="8"/>
        <v>20.86614173</v>
      </c>
      <c r="Q23" s="8">
        <v>510.0</v>
      </c>
      <c r="R23" s="11">
        <f t="shared" si="9"/>
        <v>20.07874016</v>
      </c>
      <c r="S23" s="8">
        <v>311.0</v>
      </c>
      <c r="T23" s="11">
        <f t="shared" si="3"/>
        <v>12.24409449</v>
      </c>
      <c r="U23" s="8">
        <v>405.0</v>
      </c>
      <c r="V23" s="11">
        <f t="shared" si="15"/>
        <v>15.94488189</v>
      </c>
      <c r="W23" s="8">
        <v>-9.0</v>
      </c>
      <c r="X23" s="11">
        <f t="shared" si="12"/>
        <v>-0.3543307087</v>
      </c>
      <c r="Y23" s="8">
        <f>640/2+W23</f>
        <v>311</v>
      </c>
      <c r="Z23" s="12">
        <v>66.5</v>
      </c>
      <c r="AA23" s="12">
        <v>75.7</v>
      </c>
      <c r="AB23" s="8">
        <v>1075.0</v>
      </c>
      <c r="AC23" s="11">
        <f t="shared" si="17"/>
        <v>42.32283465</v>
      </c>
      <c r="AD23" s="8">
        <v>100.0</v>
      </c>
    </row>
    <row r="24" ht="15.75" customHeight="1">
      <c r="A24" s="6"/>
      <c r="B24" s="8" t="s">
        <v>91</v>
      </c>
      <c r="C24" s="22" t="s">
        <v>95</v>
      </c>
      <c r="D24" s="6"/>
      <c r="E24" s="6"/>
      <c r="F24" s="12" t="s">
        <v>96</v>
      </c>
      <c r="G24" s="8">
        <v>386.0</v>
      </c>
      <c r="H24" s="11">
        <f t="shared" si="18"/>
        <v>15.19685039</v>
      </c>
      <c r="I24" s="8">
        <f t="shared" si="19"/>
        <v>670</v>
      </c>
      <c r="J24" s="11">
        <f t="shared" si="7"/>
        <v>26.37795276</v>
      </c>
      <c r="K24" s="8">
        <f>343+Y24</f>
        <v>664</v>
      </c>
      <c r="L24" s="11">
        <f t="shared" si="1"/>
        <v>26.14173228</v>
      </c>
      <c r="M24" s="8">
        <v>550.0</v>
      </c>
      <c r="N24" s="11">
        <f t="shared" si="2"/>
        <v>21.65354331</v>
      </c>
      <c r="O24" s="8">
        <v>531.0</v>
      </c>
      <c r="P24" s="11">
        <f t="shared" si="8"/>
        <v>20.90551181</v>
      </c>
      <c r="Q24" s="8">
        <v>510.0</v>
      </c>
      <c r="R24" s="11">
        <f t="shared" si="9"/>
        <v>20.07874016</v>
      </c>
      <c r="S24" s="8">
        <v>311.0</v>
      </c>
      <c r="T24" s="11">
        <f t="shared" si="3"/>
        <v>12.24409449</v>
      </c>
      <c r="U24" s="8">
        <v>406.0</v>
      </c>
      <c r="V24" s="11">
        <f t="shared" si="15"/>
        <v>15.98425197</v>
      </c>
      <c r="W24" s="8">
        <v>-14.0</v>
      </c>
      <c r="X24" s="11">
        <f t="shared" si="12"/>
        <v>-0.5511811024</v>
      </c>
      <c r="Y24" s="8">
        <f>670/2+W24</f>
        <v>321</v>
      </c>
      <c r="Z24" s="12">
        <v>66.0</v>
      </c>
      <c r="AA24" s="12">
        <v>75.2</v>
      </c>
      <c r="AB24" s="8">
        <v>1076.0</v>
      </c>
      <c r="AC24" s="11">
        <f t="shared" si="17"/>
        <v>42.36220472</v>
      </c>
      <c r="AD24" s="8">
        <v>100.0</v>
      </c>
    </row>
    <row r="25" ht="15.75" customHeight="1">
      <c r="A25" s="25" t="s">
        <v>97</v>
      </c>
      <c r="B25" s="25" t="s">
        <v>91</v>
      </c>
      <c r="C25" s="25" t="s">
        <v>98</v>
      </c>
      <c r="D25" s="25">
        <v>522.0</v>
      </c>
      <c r="E25" s="29">
        <v>120.0</v>
      </c>
      <c r="F25" s="29" t="s">
        <v>99</v>
      </c>
      <c r="G25" s="25">
        <v>410.0</v>
      </c>
      <c r="H25" s="27">
        <f t="shared" si="18"/>
        <v>16.14173228</v>
      </c>
      <c r="I25" s="25">
        <v>699.0</v>
      </c>
      <c r="J25" s="27">
        <f t="shared" si="7"/>
        <v>27.51968504</v>
      </c>
      <c r="K25" s="25">
        <f>355+Y25</f>
        <v>668</v>
      </c>
      <c r="L25" s="27">
        <f t="shared" si="1"/>
        <v>26.2992126</v>
      </c>
      <c r="M25" s="25">
        <v>600.0</v>
      </c>
      <c r="N25" s="27">
        <f t="shared" si="2"/>
        <v>23.62204724</v>
      </c>
      <c r="O25" s="25">
        <v>565.0</v>
      </c>
      <c r="P25" s="27">
        <f t="shared" si="8"/>
        <v>22.24409449</v>
      </c>
      <c r="Q25" s="25">
        <v>549.0</v>
      </c>
      <c r="R25" s="27">
        <f t="shared" si="9"/>
        <v>21.61417323</v>
      </c>
      <c r="S25" s="25">
        <v>355.0</v>
      </c>
      <c r="T25" s="27">
        <f t="shared" si="3"/>
        <v>13.97637795</v>
      </c>
      <c r="U25" s="25">
        <v>427.0</v>
      </c>
      <c r="V25" s="27">
        <f t="shared" si="15"/>
        <v>16.81102362</v>
      </c>
      <c r="W25" s="25">
        <f>-38</f>
        <v>-38</v>
      </c>
      <c r="X25" s="27">
        <f t="shared" si="12"/>
        <v>-1.496062992</v>
      </c>
      <c r="Y25" s="25">
        <f>702/2+W25</f>
        <v>313</v>
      </c>
      <c r="Z25" s="28">
        <v>67.0</v>
      </c>
      <c r="AA25" s="28">
        <v>75.5</v>
      </c>
      <c r="AB25" s="25">
        <v>1125.0</v>
      </c>
      <c r="AC25" s="27">
        <f t="shared" si="17"/>
        <v>44.29133858</v>
      </c>
      <c r="AD25" s="25">
        <v>105.0</v>
      </c>
    </row>
    <row r="26" ht="15.75" customHeight="1">
      <c r="A26" s="8" t="s">
        <v>100</v>
      </c>
      <c r="B26" s="8" t="s">
        <v>91</v>
      </c>
      <c r="C26" s="8" t="s">
        <v>101</v>
      </c>
      <c r="D26" s="8">
        <v>408.0</v>
      </c>
      <c r="E26" s="30">
        <v>60.0</v>
      </c>
      <c r="F26" s="30" t="s">
        <v>102</v>
      </c>
      <c r="G26" s="8">
        <v>325.0</v>
      </c>
      <c r="H26" s="11">
        <f t="shared" si="18"/>
        <v>12.79527559</v>
      </c>
      <c r="I26" s="8">
        <v>558.0</v>
      </c>
      <c r="J26" s="11">
        <f t="shared" si="7"/>
        <v>21.96850394</v>
      </c>
      <c r="K26" s="8">
        <f>298+Y26</f>
        <v>559</v>
      </c>
      <c r="L26" s="11">
        <f t="shared" si="1"/>
        <v>22.00787402</v>
      </c>
      <c r="M26" s="8">
        <v>470.0</v>
      </c>
      <c r="N26" s="11">
        <f t="shared" si="2"/>
        <v>18.50393701</v>
      </c>
      <c r="O26" s="8">
        <v>470.0</v>
      </c>
      <c r="P26" s="11">
        <f t="shared" si="8"/>
        <v>18.50393701</v>
      </c>
      <c r="Q26" s="8">
        <v>466.0</v>
      </c>
      <c r="R26" s="11">
        <f t="shared" si="9"/>
        <v>18.34645669</v>
      </c>
      <c r="S26" s="8">
        <v>260.0</v>
      </c>
      <c r="T26" s="11">
        <f t="shared" si="3"/>
        <v>10.23622047</v>
      </c>
      <c r="U26" s="8">
        <v>333.0</v>
      </c>
      <c r="V26" s="11">
        <f t="shared" si="15"/>
        <v>13.11023622</v>
      </c>
      <c r="W26" s="8">
        <v>-20.0</v>
      </c>
      <c r="X26" s="11">
        <f t="shared" si="12"/>
        <v>-0.7874015748</v>
      </c>
      <c r="Y26" s="8">
        <f>562/2+W26</f>
        <v>261</v>
      </c>
      <c r="Z26" s="12">
        <v>66.0</v>
      </c>
      <c r="AA26" s="12">
        <v>72.5</v>
      </c>
      <c r="AB26" s="8">
        <v>892.0</v>
      </c>
      <c r="AC26" s="11">
        <f t="shared" si="17"/>
        <v>35.11811024</v>
      </c>
      <c r="AD26" s="8">
        <v>95.0</v>
      </c>
    </row>
    <row r="27" ht="15.75" customHeight="1">
      <c r="A27" s="25" t="s">
        <v>103</v>
      </c>
      <c r="B27" s="25" t="s">
        <v>91</v>
      </c>
      <c r="C27" s="25" t="s">
        <v>92</v>
      </c>
      <c r="D27" s="25">
        <v>478.0</v>
      </c>
      <c r="E27" s="29">
        <v>100.0</v>
      </c>
      <c r="F27" s="29" t="s">
        <v>104</v>
      </c>
      <c r="G27" s="25">
        <v>375.0</v>
      </c>
      <c r="H27" s="27">
        <f t="shared" si="18"/>
        <v>14.76377953</v>
      </c>
      <c r="I27" s="25">
        <v>629.0</v>
      </c>
      <c r="J27" s="27">
        <f t="shared" si="7"/>
        <v>24.76377953</v>
      </c>
      <c r="K27" s="25">
        <f>340+Y27</f>
        <v>620</v>
      </c>
      <c r="L27" s="27">
        <f t="shared" si="1"/>
        <v>24.40944882</v>
      </c>
      <c r="M27" s="25">
        <v>545.0</v>
      </c>
      <c r="N27" s="27">
        <f t="shared" si="2"/>
        <v>21.45669291</v>
      </c>
      <c r="O27" s="25">
        <v>526.0</v>
      </c>
      <c r="P27" s="27">
        <f t="shared" si="8"/>
        <v>20.70866142</v>
      </c>
      <c r="Q27" s="25">
        <v>530.0</v>
      </c>
      <c r="R27" s="27">
        <f t="shared" si="9"/>
        <v>20.86614173</v>
      </c>
      <c r="S27" s="25">
        <v>310.0</v>
      </c>
      <c r="T27" s="27">
        <f t="shared" si="3"/>
        <v>12.20472441</v>
      </c>
      <c r="U27" s="25">
        <v>394.0</v>
      </c>
      <c r="V27" s="27">
        <f t="shared" si="15"/>
        <v>15.51181102</v>
      </c>
      <c r="W27" s="25">
        <v>-33.0</v>
      </c>
      <c r="X27" s="27">
        <f t="shared" si="12"/>
        <v>-1.299212598</v>
      </c>
      <c r="Y27" s="25">
        <f>626/2+W27</f>
        <v>280</v>
      </c>
      <c r="Z27" s="28">
        <v>65.5</v>
      </c>
      <c r="AA27" s="28">
        <v>74.5</v>
      </c>
      <c r="AB27" s="25">
        <v>1021.0</v>
      </c>
      <c r="AC27" s="27">
        <f t="shared" si="17"/>
        <v>40.19685039</v>
      </c>
      <c r="AD27" s="25">
        <v>100.0</v>
      </c>
    </row>
    <row r="28" ht="24.75" customHeight="1">
      <c r="A28" s="8" t="s">
        <v>105</v>
      </c>
      <c r="B28" s="8" t="s">
        <v>91</v>
      </c>
      <c r="C28" s="8" t="s">
        <v>98</v>
      </c>
      <c r="D28" s="8">
        <v>505.0</v>
      </c>
      <c r="E28" s="30">
        <v>100.0</v>
      </c>
      <c r="F28" s="30" t="s">
        <v>106</v>
      </c>
      <c r="G28" s="8">
        <v>391.0</v>
      </c>
      <c r="H28" s="11">
        <f t="shared" si="18"/>
        <v>15.39370079</v>
      </c>
      <c r="I28" s="8">
        <v>688.0</v>
      </c>
      <c r="J28" s="11">
        <f t="shared" si="7"/>
        <v>27.08661417</v>
      </c>
      <c r="K28" s="8">
        <f>368+Y28</f>
        <v>647.5</v>
      </c>
      <c r="L28" s="11">
        <f t="shared" si="1"/>
        <v>25.49212598</v>
      </c>
      <c r="M28" s="8">
        <v>603.0</v>
      </c>
      <c r="N28" s="11">
        <f t="shared" si="2"/>
        <v>23.74015748</v>
      </c>
      <c r="O28" s="8">
        <v>553.0</v>
      </c>
      <c r="P28" s="11">
        <f t="shared" si="8"/>
        <v>21.77165354</v>
      </c>
      <c r="Q28" s="8">
        <v>522.0</v>
      </c>
      <c r="R28" s="11">
        <f t="shared" si="9"/>
        <v>20.5511811</v>
      </c>
      <c r="S28" s="8">
        <v>355.0</v>
      </c>
      <c r="T28" s="11">
        <f t="shared" si="3"/>
        <v>13.97637795</v>
      </c>
      <c r="U28" s="8">
        <v>415.0</v>
      </c>
      <c r="V28" s="11">
        <f t="shared" si="15"/>
        <v>16.33858268</v>
      </c>
      <c r="W28" s="8">
        <v>-68.0</v>
      </c>
      <c r="X28" s="11">
        <f t="shared" si="12"/>
        <v>-2.677165354</v>
      </c>
      <c r="Y28" s="8">
        <f>695/2+W28</f>
        <v>279.5</v>
      </c>
      <c r="Z28" s="12">
        <v>66.0</v>
      </c>
      <c r="AA28" s="12">
        <v>75.0</v>
      </c>
      <c r="AB28" s="8">
        <v>1094.0</v>
      </c>
      <c r="AC28" s="11">
        <f t="shared" si="17"/>
        <v>43.07086614</v>
      </c>
      <c r="AD28" s="8">
        <v>100.0</v>
      </c>
    </row>
    <row r="29" ht="15.75" customHeight="1">
      <c r="A29" s="25" t="s">
        <v>107</v>
      </c>
      <c r="B29" s="25" t="s">
        <v>91</v>
      </c>
      <c r="C29" s="31" t="s">
        <v>92</v>
      </c>
      <c r="D29" s="31">
        <v>399.0</v>
      </c>
      <c r="E29" s="31">
        <v>50.0</v>
      </c>
      <c r="F29" s="31" t="s">
        <v>94</v>
      </c>
      <c r="G29" s="25">
        <v>373.0</v>
      </c>
      <c r="H29" s="27">
        <f t="shared" si="18"/>
        <v>14.68503937</v>
      </c>
      <c r="I29" s="25">
        <v>570.0</v>
      </c>
      <c r="J29" s="27">
        <f t="shared" si="7"/>
        <v>22.44094488</v>
      </c>
      <c r="K29" s="25">
        <f>310+Y29</f>
        <v>605</v>
      </c>
      <c r="L29" s="27">
        <f t="shared" si="1"/>
        <v>23.81889764</v>
      </c>
      <c r="M29" s="25">
        <v>471.0</v>
      </c>
      <c r="N29" s="27">
        <f t="shared" si="2"/>
        <v>18.54330709</v>
      </c>
      <c r="O29" s="25">
        <v>517.0</v>
      </c>
      <c r="P29" s="27">
        <f t="shared" si="8"/>
        <v>20.35433071</v>
      </c>
      <c r="Q29" s="25">
        <v>503.0</v>
      </c>
      <c r="R29" s="27">
        <f t="shared" si="9"/>
        <v>19.80314961</v>
      </c>
      <c r="S29" s="25">
        <v>305.0</v>
      </c>
      <c r="T29" s="27">
        <f t="shared" si="3"/>
        <v>12.00787402</v>
      </c>
      <c r="U29" s="25">
        <v>365.0</v>
      </c>
      <c r="V29" s="27">
        <f t="shared" si="15"/>
        <v>14.37007874</v>
      </c>
      <c r="W29" s="25">
        <v>-25.0</v>
      </c>
      <c r="X29" s="27">
        <f t="shared" si="12"/>
        <v>-0.9842519685</v>
      </c>
      <c r="Y29" s="25">
        <f t="shared" ref="Y29:Y31" si="20">640/2+W29</f>
        <v>295</v>
      </c>
      <c r="Z29" s="28">
        <v>67.0</v>
      </c>
      <c r="AA29" s="28">
        <v>73.0</v>
      </c>
      <c r="AB29" s="25">
        <v>970.0</v>
      </c>
      <c r="AC29" s="27">
        <f t="shared" si="17"/>
        <v>38.18897638</v>
      </c>
      <c r="AD29" s="25">
        <v>100.0</v>
      </c>
    </row>
    <row r="30" ht="15.75" customHeight="1">
      <c r="A30" s="8" t="s">
        <v>108</v>
      </c>
      <c r="B30" s="8" t="s">
        <v>91</v>
      </c>
      <c r="C30" s="22" t="s">
        <v>92</v>
      </c>
      <c r="D30" s="22">
        <v>460.0</v>
      </c>
      <c r="E30" s="22">
        <v>80.0</v>
      </c>
      <c r="F30" s="22" t="s">
        <v>94</v>
      </c>
      <c r="G30" s="8">
        <v>370.0</v>
      </c>
      <c r="H30" s="11">
        <f t="shared" si="18"/>
        <v>14.56692913</v>
      </c>
      <c r="I30" s="8">
        <v>596.0</v>
      </c>
      <c r="J30" s="11">
        <f t="shared" si="7"/>
        <v>23.46456693</v>
      </c>
      <c r="K30" s="8">
        <f>376+Y30</f>
        <v>681</v>
      </c>
      <c r="L30" s="11">
        <f t="shared" si="1"/>
        <v>26.81102362</v>
      </c>
      <c r="M30" s="8">
        <v>548.0</v>
      </c>
      <c r="N30" s="11">
        <f t="shared" si="2"/>
        <v>21.57480315</v>
      </c>
      <c r="O30" s="8">
        <v>541.0</v>
      </c>
      <c r="P30" s="11">
        <f t="shared" si="8"/>
        <v>21.2992126</v>
      </c>
      <c r="Q30" s="8">
        <v>523.0</v>
      </c>
      <c r="R30" s="11">
        <f t="shared" si="9"/>
        <v>20.59055118</v>
      </c>
      <c r="S30" s="8">
        <v>325.0</v>
      </c>
      <c r="T30" s="11">
        <f t="shared" si="3"/>
        <v>12.79527559</v>
      </c>
      <c r="U30" s="8">
        <v>354.0</v>
      </c>
      <c r="V30" s="11">
        <f t="shared" si="15"/>
        <v>13.93700787</v>
      </c>
      <c r="W30" s="8">
        <v>-15.0</v>
      </c>
      <c r="X30" s="11">
        <f t="shared" si="12"/>
        <v>-0.5905511811</v>
      </c>
      <c r="Y30" s="8">
        <f t="shared" si="20"/>
        <v>305</v>
      </c>
      <c r="Z30" s="12">
        <v>70.0</v>
      </c>
      <c r="AA30" s="12">
        <v>71.0</v>
      </c>
      <c r="AB30" s="8">
        <v>949.0</v>
      </c>
      <c r="AC30" s="11">
        <f t="shared" si="17"/>
        <v>37.36220472</v>
      </c>
      <c r="AD30" s="8">
        <v>115.0</v>
      </c>
    </row>
    <row r="31" ht="15.75" customHeight="1">
      <c r="A31" s="14" t="s">
        <v>109</v>
      </c>
      <c r="B31" s="14" t="s">
        <v>91</v>
      </c>
      <c r="C31" s="14" t="s">
        <v>110</v>
      </c>
      <c r="D31" s="14">
        <v>370.0</v>
      </c>
      <c r="E31" s="32" t="s">
        <v>91</v>
      </c>
      <c r="F31" s="32" t="s">
        <v>111</v>
      </c>
      <c r="G31" s="14">
        <v>360.0</v>
      </c>
      <c r="H31" s="16">
        <f t="shared" si="18"/>
        <v>14.17322835</v>
      </c>
      <c r="I31" s="14">
        <v>555.0</v>
      </c>
      <c r="J31" s="16">
        <f t="shared" si="7"/>
        <v>21.8503937</v>
      </c>
      <c r="K31" s="14">
        <f>399.9+Y31</f>
        <v>660.9</v>
      </c>
      <c r="L31" s="16">
        <f t="shared" si="1"/>
        <v>26.01968504</v>
      </c>
      <c r="M31" s="14">
        <v>477.0</v>
      </c>
      <c r="N31" s="16">
        <f t="shared" si="2"/>
        <v>18.77952756</v>
      </c>
      <c r="O31" s="14">
        <v>492.6</v>
      </c>
      <c r="P31" s="16">
        <f t="shared" si="8"/>
        <v>19.39370079</v>
      </c>
      <c r="Q31" s="14">
        <v>475.7</v>
      </c>
      <c r="R31" s="16">
        <f t="shared" si="9"/>
        <v>18.72834646</v>
      </c>
      <c r="S31" s="14">
        <v>395.0</v>
      </c>
      <c r="T31" s="16">
        <f t="shared" si="3"/>
        <v>15.5511811</v>
      </c>
      <c r="U31" s="14">
        <v>390.0</v>
      </c>
      <c r="V31" s="16">
        <f t="shared" si="15"/>
        <v>15.35433071</v>
      </c>
      <c r="W31" s="14">
        <v>-59.0</v>
      </c>
      <c r="X31" s="16">
        <f t="shared" si="12"/>
        <v>-2.322834646</v>
      </c>
      <c r="Y31" s="14">
        <f t="shared" si="20"/>
        <v>261</v>
      </c>
      <c r="Z31" s="17">
        <v>71.0</v>
      </c>
      <c r="AA31" s="17">
        <v>74.5</v>
      </c>
      <c r="AB31" s="14">
        <v>937.4</v>
      </c>
      <c r="AC31" s="16">
        <f t="shared" si="17"/>
        <v>36.90551181</v>
      </c>
      <c r="AD31" s="14">
        <v>85.0</v>
      </c>
    </row>
    <row r="32" ht="15.75" customHeight="1">
      <c r="A32" s="7" t="s">
        <v>112</v>
      </c>
      <c r="B32" s="8" t="s">
        <v>65</v>
      </c>
      <c r="C32" s="7" t="s">
        <v>113</v>
      </c>
      <c r="D32" s="7">
        <v>506.0</v>
      </c>
      <c r="E32" s="18">
        <v>100.0</v>
      </c>
      <c r="F32" s="18" t="s">
        <v>114</v>
      </c>
      <c r="G32" s="8">
        <v>445.0</v>
      </c>
      <c r="H32" s="12">
        <f t="shared" si="18"/>
        <v>17.51968504</v>
      </c>
      <c r="I32" s="8">
        <v>725.0</v>
      </c>
      <c r="J32" s="11">
        <f t="shared" si="7"/>
        <v>28.54330709</v>
      </c>
      <c r="K32" s="8">
        <f>423+Y32</f>
        <v>742</v>
      </c>
      <c r="L32" s="11">
        <f t="shared" si="1"/>
        <v>29.21259843</v>
      </c>
      <c r="M32" s="8">
        <v>583.0</v>
      </c>
      <c r="N32" s="11">
        <f t="shared" si="2"/>
        <v>22.95275591</v>
      </c>
      <c r="O32" s="8">
        <v>579.0</v>
      </c>
      <c r="P32" s="11">
        <f t="shared" si="8"/>
        <v>22.79527559</v>
      </c>
      <c r="Q32" s="8">
        <v>548.0</v>
      </c>
      <c r="R32" s="11">
        <f t="shared" si="9"/>
        <v>21.57480315</v>
      </c>
      <c r="S32" s="8">
        <v>410.0</v>
      </c>
      <c r="T32" s="11">
        <f t="shared" si="3"/>
        <v>16.14173228</v>
      </c>
      <c r="U32" s="8">
        <v>438.0</v>
      </c>
      <c r="V32" s="11">
        <f t="shared" si="15"/>
        <v>17.24409449</v>
      </c>
      <c r="W32" s="8">
        <v>-45.0</v>
      </c>
      <c r="X32" s="11">
        <f t="shared" si="12"/>
        <v>-1.771653543</v>
      </c>
      <c r="Y32" s="8">
        <f t="shared" ref="Y32:Y39" si="21">728/2+W32</f>
        <v>319</v>
      </c>
      <c r="Z32" s="12">
        <v>67.0</v>
      </c>
      <c r="AA32" s="12">
        <v>77.0</v>
      </c>
      <c r="AB32" s="8">
        <v>1159.0</v>
      </c>
      <c r="AC32" s="11">
        <f t="shared" si="17"/>
        <v>45.62992126</v>
      </c>
      <c r="AD32" s="8">
        <v>95.0</v>
      </c>
    </row>
    <row r="33" ht="15.75" customHeight="1">
      <c r="A33" s="19"/>
      <c r="B33" s="8" t="s">
        <v>24</v>
      </c>
      <c r="C33" s="19"/>
      <c r="D33" s="19"/>
      <c r="E33" s="19"/>
      <c r="F33" s="19"/>
      <c r="G33" s="8">
        <v>475.0</v>
      </c>
      <c r="H33" s="12">
        <f t="shared" si="18"/>
        <v>18.7007874</v>
      </c>
      <c r="I33" s="8">
        <v>759.0</v>
      </c>
      <c r="J33" s="11">
        <f t="shared" si="7"/>
        <v>29.88188976</v>
      </c>
      <c r="K33" s="8">
        <f>422+Y33</f>
        <v>741</v>
      </c>
      <c r="L33" s="11">
        <f t="shared" si="1"/>
        <v>29.17322835</v>
      </c>
      <c r="M33" s="8">
        <v>592.0</v>
      </c>
      <c r="N33" s="11">
        <f t="shared" si="2"/>
        <v>23.30708661</v>
      </c>
      <c r="O33" s="8">
        <v>612.0</v>
      </c>
      <c r="P33" s="11">
        <f t="shared" si="8"/>
        <v>24.09448819</v>
      </c>
      <c r="Q33" s="8">
        <v>580.0</v>
      </c>
      <c r="R33" s="11">
        <f t="shared" si="9"/>
        <v>22.83464567</v>
      </c>
      <c r="S33" s="8">
        <v>440.0</v>
      </c>
      <c r="T33" s="11">
        <f t="shared" si="3"/>
        <v>17.32283465</v>
      </c>
      <c r="U33" s="8">
        <v>438.0</v>
      </c>
      <c r="V33" s="11">
        <f t="shared" si="15"/>
        <v>17.24409449</v>
      </c>
      <c r="W33" s="8">
        <v>-45.0</v>
      </c>
      <c r="X33" s="11">
        <f t="shared" si="12"/>
        <v>-1.771653543</v>
      </c>
      <c r="Y33" s="8">
        <f t="shared" si="21"/>
        <v>319</v>
      </c>
      <c r="Z33" s="12">
        <v>67.0</v>
      </c>
      <c r="AA33" s="12">
        <v>77.0</v>
      </c>
      <c r="AB33" s="8">
        <v>1193.0</v>
      </c>
      <c r="AC33" s="11">
        <f t="shared" si="17"/>
        <v>46.96850394</v>
      </c>
      <c r="AD33" s="8">
        <v>105.0</v>
      </c>
    </row>
    <row r="34" ht="15.75" customHeight="1">
      <c r="A34" s="19"/>
      <c r="B34" s="8" t="s">
        <v>37</v>
      </c>
      <c r="C34" s="19"/>
      <c r="D34" s="19"/>
      <c r="E34" s="19"/>
      <c r="F34" s="19"/>
      <c r="G34" s="8">
        <v>500.0</v>
      </c>
      <c r="H34" s="12">
        <f t="shared" si="18"/>
        <v>19.68503937</v>
      </c>
      <c r="I34" s="8">
        <v>789.0</v>
      </c>
      <c r="J34" s="11">
        <f t="shared" si="7"/>
        <v>31.06299213</v>
      </c>
      <c r="K34" s="8">
        <f>423+Y34</f>
        <v>742</v>
      </c>
      <c r="L34" s="11">
        <f t="shared" si="1"/>
        <v>29.21259843</v>
      </c>
      <c r="M34" s="8">
        <v>606.0</v>
      </c>
      <c r="N34" s="11">
        <f t="shared" si="2"/>
        <v>23.85826772</v>
      </c>
      <c r="O34" s="8">
        <v>640.0</v>
      </c>
      <c r="P34" s="11">
        <f t="shared" si="8"/>
        <v>25.19685039</v>
      </c>
      <c r="Q34" s="8">
        <v>611.0</v>
      </c>
      <c r="R34" s="11">
        <f t="shared" si="9"/>
        <v>24.05511811</v>
      </c>
      <c r="S34" s="8">
        <v>490.0</v>
      </c>
      <c r="T34" s="11">
        <f t="shared" si="3"/>
        <v>19.29133858</v>
      </c>
      <c r="U34" s="8">
        <v>438.0</v>
      </c>
      <c r="V34" s="11">
        <f t="shared" si="15"/>
        <v>17.24409449</v>
      </c>
      <c r="W34" s="8">
        <v>-45.0</v>
      </c>
      <c r="X34" s="11">
        <f t="shared" si="12"/>
        <v>-1.771653543</v>
      </c>
      <c r="Y34" s="8">
        <f t="shared" si="21"/>
        <v>319</v>
      </c>
      <c r="Z34" s="12">
        <v>67.0</v>
      </c>
      <c r="AA34" s="12">
        <v>77.0</v>
      </c>
      <c r="AB34" s="8">
        <v>1223.0</v>
      </c>
      <c r="AC34" s="11">
        <f t="shared" si="17"/>
        <v>48.1496063</v>
      </c>
      <c r="AD34" s="8">
        <v>120.0</v>
      </c>
    </row>
    <row r="35" ht="15.75" customHeight="1">
      <c r="A35" s="6"/>
      <c r="B35" s="8" t="s">
        <v>115</v>
      </c>
      <c r="C35" s="6"/>
      <c r="D35" s="6"/>
      <c r="E35" s="6"/>
      <c r="F35" s="6"/>
      <c r="G35" s="8">
        <v>520.0</v>
      </c>
      <c r="H35" s="12">
        <f t="shared" si="18"/>
        <v>20.47244094</v>
      </c>
      <c r="I35" s="8">
        <v>817.0</v>
      </c>
      <c r="J35" s="11">
        <f t="shared" si="7"/>
        <v>32.16535433</v>
      </c>
      <c r="K35" s="8">
        <f>424+Y35</f>
        <v>743</v>
      </c>
      <c r="L35" s="11">
        <f t="shared" si="1"/>
        <v>29.2519685</v>
      </c>
      <c r="M35" s="8">
        <v>624.0</v>
      </c>
      <c r="N35" s="11">
        <f t="shared" si="2"/>
        <v>24.56692913</v>
      </c>
      <c r="O35" s="8">
        <v>664.0</v>
      </c>
      <c r="P35" s="11">
        <f t="shared" si="8"/>
        <v>26.14173228</v>
      </c>
      <c r="Q35" s="8">
        <v>640.0</v>
      </c>
      <c r="R35" s="11">
        <f t="shared" si="9"/>
        <v>25.19685039</v>
      </c>
      <c r="S35" s="8">
        <v>540.0</v>
      </c>
      <c r="T35" s="11">
        <f t="shared" si="3"/>
        <v>21.25984252</v>
      </c>
      <c r="U35" s="8">
        <v>438.0</v>
      </c>
      <c r="V35" s="11">
        <f t="shared" si="15"/>
        <v>17.24409449</v>
      </c>
      <c r="W35" s="8">
        <v>-45.0</v>
      </c>
      <c r="X35" s="11">
        <f t="shared" si="12"/>
        <v>-1.771653543</v>
      </c>
      <c r="Y35" s="8">
        <f t="shared" si="21"/>
        <v>319</v>
      </c>
      <c r="Z35" s="12">
        <v>67.0</v>
      </c>
      <c r="AA35" s="12">
        <v>77.0</v>
      </c>
      <c r="AB35" s="8">
        <v>1251.0</v>
      </c>
      <c r="AC35" s="11">
        <f t="shared" si="17"/>
        <v>49.2519685</v>
      </c>
      <c r="AD35" s="8">
        <v>140.0</v>
      </c>
    </row>
    <row r="36" ht="15.75" customHeight="1">
      <c r="A36" s="13" t="s">
        <v>116</v>
      </c>
      <c r="B36" s="14" t="s">
        <v>65</v>
      </c>
      <c r="C36" s="13" t="s">
        <v>113</v>
      </c>
      <c r="D36" s="13">
        <v>526.0</v>
      </c>
      <c r="E36" s="20">
        <v>120.0</v>
      </c>
      <c r="F36" s="20" t="s">
        <v>114</v>
      </c>
      <c r="G36" s="14">
        <v>436.0</v>
      </c>
      <c r="H36" s="16">
        <f t="shared" si="18"/>
        <v>17.16535433</v>
      </c>
      <c r="I36" s="14">
        <v>732.0</v>
      </c>
      <c r="J36" s="16">
        <f t="shared" si="7"/>
        <v>28.81889764</v>
      </c>
      <c r="K36" s="14">
        <f>428+Y36</f>
        <v>754</v>
      </c>
      <c r="L36" s="16">
        <f t="shared" si="1"/>
        <v>29.68503937</v>
      </c>
      <c r="M36" s="14">
        <v>590.0</v>
      </c>
      <c r="N36" s="16">
        <f t="shared" si="2"/>
        <v>23.22834646</v>
      </c>
      <c r="O36" s="14">
        <v>582.0</v>
      </c>
      <c r="P36" s="16">
        <f t="shared" si="8"/>
        <v>22.91338583</v>
      </c>
      <c r="Q36" s="14">
        <v>548.0</v>
      </c>
      <c r="R36" s="16">
        <f t="shared" si="9"/>
        <v>21.57480315</v>
      </c>
      <c r="S36" s="14">
        <v>410.0</v>
      </c>
      <c r="T36" s="16">
        <f t="shared" si="3"/>
        <v>16.14173228</v>
      </c>
      <c r="U36" s="14">
        <v>438.0</v>
      </c>
      <c r="V36" s="16">
        <f t="shared" si="15"/>
        <v>17.24409449</v>
      </c>
      <c r="W36" s="14">
        <f t="shared" ref="W36:W42" si="22">-38</f>
        <v>-38</v>
      </c>
      <c r="X36" s="16">
        <f t="shared" si="12"/>
        <v>-1.496062992</v>
      </c>
      <c r="Y36" s="14">
        <f t="shared" si="21"/>
        <v>326</v>
      </c>
      <c r="Z36" s="17">
        <v>66.0</v>
      </c>
      <c r="AA36" s="17">
        <v>76.0</v>
      </c>
      <c r="AB36" s="14">
        <v>1167.0</v>
      </c>
      <c r="AC36" s="16">
        <f t="shared" si="17"/>
        <v>45.94488189</v>
      </c>
      <c r="AD36" s="14">
        <v>95.0</v>
      </c>
    </row>
    <row r="37" ht="15.75" customHeight="1">
      <c r="A37" s="19"/>
      <c r="B37" s="14" t="s">
        <v>24</v>
      </c>
      <c r="C37" s="19"/>
      <c r="D37" s="19"/>
      <c r="E37" s="19"/>
      <c r="F37" s="19"/>
      <c r="G37" s="14">
        <v>466.0</v>
      </c>
      <c r="H37" s="16">
        <f t="shared" si="18"/>
        <v>18.34645669</v>
      </c>
      <c r="I37" s="14">
        <v>766.0</v>
      </c>
      <c r="J37" s="16">
        <f t="shared" si="7"/>
        <v>30.15748031</v>
      </c>
      <c r="K37" s="14">
        <f t="shared" ref="K37:K38" si="23">427+Y37</f>
        <v>753</v>
      </c>
      <c r="L37" s="16">
        <f t="shared" si="1"/>
        <v>29.64566929</v>
      </c>
      <c r="M37" s="14">
        <v>599.0</v>
      </c>
      <c r="N37" s="16">
        <f t="shared" si="2"/>
        <v>23.58267717</v>
      </c>
      <c r="O37" s="14">
        <v>615.0</v>
      </c>
      <c r="P37" s="16">
        <f t="shared" si="8"/>
        <v>24.21259843</v>
      </c>
      <c r="Q37" s="14">
        <v>580.0</v>
      </c>
      <c r="R37" s="16">
        <f t="shared" si="9"/>
        <v>22.83464567</v>
      </c>
      <c r="S37" s="14">
        <v>440.0</v>
      </c>
      <c r="T37" s="16">
        <f t="shared" si="3"/>
        <v>17.32283465</v>
      </c>
      <c r="U37" s="14">
        <v>438.0</v>
      </c>
      <c r="V37" s="16">
        <f t="shared" si="15"/>
        <v>17.24409449</v>
      </c>
      <c r="W37" s="14">
        <f t="shared" si="22"/>
        <v>-38</v>
      </c>
      <c r="X37" s="16">
        <f t="shared" si="12"/>
        <v>-1.496062992</v>
      </c>
      <c r="Y37" s="14">
        <f t="shared" si="21"/>
        <v>326</v>
      </c>
      <c r="Z37" s="17">
        <v>66.0</v>
      </c>
      <c r="AA37" s="17">
        <v>76.0</v>
      </c>
      <c r="AB37" s="14">
        <v>1201.0</v>
      </c>
      <c r="AC37" s="16">
        <f t="shared" si="17"/>
        <v>47.28346457</v>
      </c>
      <c r="AD37" s="14">
        <v>105.0</v>
      </c>
    </row>
    <row r="38" ht="15.75" customHeight="1">
      <c r="A38" s="19"/>
      <c r="B38" s="14" t="s">
        <v>37</v>
      </c>
      <c r="C38" s="19"/>
      <c r="D38" s="19"/>
      <c r="E38" s="19"/>
      <c r="F38" s="19"/>
      <c r="G38" s="14">
        <v>491.0</v>
      </c>
      <c r="H38" s="16">
        <f t="shared" si="18"/>
        <v>19.33070866</v>
      </c>
      <c r="I38" s="14">
        <v>796.0</v>
      </c>
      <c r="J38" s="16">
        <f t="shared" si="7"/>
        <v>31.33858268</v>
      </c>
      <c r="K38" s="14">
        <f t="shared" si="23"/>
        <v>753</v>
      </c>
      <c r="L38" s="16">
        <f t="shared" si="1"/>
        <v>29.64566929</v>
      </c>
      <c r="M38" s="14">
        <v>614.0</v>
      </c>
      <c r="N38" s="16">
        <f t="shared" si="2"/>
        <v>24.17322835</v>
      </c>
      <c r="O38" s="14">
        <v>644.0</v>
      </c>
      <c r="P38" s="16">
        <f t="shared" si="8"/>
        <v>25.35433071</v>
      </c>
      <c r="Q38" s="14">
        <v>611.0</v>
      </c>
      <c r="R38" s="16">
        <f t="shared" si="9"/>
        <v>24.05511811</v>
      </c>
      <c r="S38" s="14">
        <v>490.0</v>
      </c>
      <c r="T38" s="16">
        <f t="shared" si="3"/>
        <v>19.29133858</v>
      </c>
      <c r="U38" s="14">
        <v>438.0</v>
      </c>
      <c r="V38" s="16">
        <f t="shared" si="15"/>
        <v>17.24409449</v>
      </c>
      <c r="W38" s="14">
        <f t="shared" si="22"/>
        <v>-38</v>
      </c>
      <c r="X38" s="16">
        <f t="shared" si="12"/>
        <v>-1.496062992</v>
      </c>
      <c r="Y38" s="14">
        <f t="shared" si="21"/>
        <v>326</v>
      </c>
      <c r="Z38" s="17">
        <v>66.0</v>
      </c>
      <c r="AA38" s="17">
        <v>76.0</v>
      </c>
      <c r="AB38" s="14">
        <v>1232.0</v>
      </c>
      <c r="AC38" s="16">
        <f t="shared" si="17"/>
        <v>48.50393701</v>
      </c>
      <c r="AD38" s="14">
        <v>120.0</v>
      </c>
    </row>
    <row r="39" ht="15.75" customHeight="1">
      <c r="A39" s="6"/>
      <c r="B39" s="14" t="s">
        <v>115</v>
      </c>
      <c r="C39" s="6"/>
      <c r="D39" s="6"/>
      <c r="E39" s="6"/>
      <c r="F39" s="6"/>
      <c r="G39" s="14">
        <v>511.0</v>
      </c>
      <c r="H39" s="16">
        <f t="shared" si="18"/>
        <v>20.11811024</v>
      </c>
      <c r="I39" s="14">
        <v>824.0</v>
      </c>
      <c r="J39" s="16">
        <f t="shared" si="7"/>
        <v>32.44094488</v>
      </c>
      <c r="K39" s="14">
        <f>428+Y39</f>
        <v>754</v>
      </c>
      <c r="L39" s="16">
        <f t="shared" si="1"/>
        <v>29.68503937</v>
      </c>
      <c r="M39" s="14">
        <v>632.0</v>
      </c>
      <c r="N39" s="16">
        <f t="shared" si="2"/>
        <v>24.88188976</v>
      </c>
      <c r="O39" s="14">
        <v>667.0</v>
      </c>
      <c r="P39" s="16">
        <f t="shared" si="8"/>
        <v>26.25984252</v>
      </c>
      <c r="Q39" s="14">
        <v>640.0</v>
      </c>
      <c r="R39" s="16">
        <f t="shared" si="9"/>
        <v>25.19685039</v>
      </c>
      <c r="S39" s="14">
        <v>540.0</v>
      </c>
      <c r="T39" s="16">
        <f t="shared" si="3"/>
        <v>21.25984252</v>
      </c>
      <c r="U39" s="14">
        <v>438.0</v>
      </c>
      <c r="V39" s="16">
        <f t="shared" si="15"/>
        <v>17.24409449</v>
      </c>
      <c r="W39" s="14">
        <f t="shared" si="22"/>
        <v>-38</v>
      </c>
      <c r="X39" s="16">
        <f t="shared" si="12"/>
        <v>-1.496062992</v>
      </c>
      <c r="Y39" s="14">
        <f t="shared" si="21"/>
        <v>326</v>
      </c>
      <c r="Z39" s="17">
        <v>66.0</v>
      </c>
      <c r="AA39" s="17">
        <v>76.0</v>
      </c>
      <c r="AB39" s="14">
        <v>1260.0</v>
      </c>
      <c r="AC39" s="16">
        <f t="shared" si="17"/>
        <v>49.60629921</v>
      </c>
      <c r="AD39" s="14">
        <v>140.0</v>
      </c>
    </row>
    <row r="40" ht="15.75" customHeight="1">
      <c r="A40" s="7" t="s">
        <v>117</v>
      </c>
      <c r="B40" s="8" t="s">
        <v>65</v>
      </c>
      <c r="C40" s="7" t="s">
        <v>113</v>
      </c>
      <c r="D40" s="7">
        <v>532.0</v>
      </c>
      <c r="E40" s="18">
        <v>120.0</v>
      </c>
      <c r="F40" s="18" t="s">
        <v>118</v>
      </c>
      <c r="G40" s="8">
        <v>440.0</v>
      </c>
      <c r="H40" s="11">
        <f t="shared" si="18"/>
        <v>17.32283465</v>
      </c>
      <c r="I40" s="8">
        <v>737.0</v>
      </c>
      <c r="J40" s="11">
        <f t="shared" si="7"/>
        <v>29.01574803</v>
      </c>
      <c r="K40" s="8">
        <f>405+Y40</f>
        <v>739</v>
      </c>
      <c r="L40" s="11">
        <f t="shared" si="1"/>
        <v>29.09448819</v>
      </c>
      <c r="M40" s="8">
        <v>595.0</v>
      </c>
      <c r="N40" s="11">
        <f t="shared" si="2"/>
        <v>23.42519685</v>
      </c>
      <c r="O40" s="8">
        <v>578.0</v>
      </c>
      <c r="P40" s="11">
        <f t="shared" si="8"/>
        <v>22.75590551</v>
      </c>
      <c r="Q40" s="8">
        <v>557.0</v>
      </c>
      <c r="R40" s="11">
        <f t="shared" si="9"/>
        <v>21.92913386</v>
      </c>
      <c r="S40" s="8">
        <v>410.0</v>
      </c>
      <c r="T40" s="11">
        <f t="shared" si="3"/>
        <v>16.14173228</v>
      </c>
      <c r="U40" s="8">
        <v>437.0</v>
      </c>
      <c r="V40" s="11">
        <f t="shared" si="15"/>
        <v>17.20472441</v>
      </c>
      <c r="W40" s="8">
        <f t="shared" si="22"/>
        <v>-38</v>
      </c>
      <c r="X40" s="11">
        <f t="shared" si="12"/>
        <v>-1.496062992</v>
      </c>
      <c r="Y40" s="8">
        <f t="shared" ref="Y40:Y42" si="24">744/2+W40</f>
        <v>334</v>
      </c>
      <c r="Z40" s="12">
        <v>66.0</v>
      </c>
      <c r="AA40" s="12">
        <v>76.0</v>
      </c>
      <c r="AB40" s="8">
        <v>1173.0</v>
      </c>
      <c r="AC40" s="11">
        <f t="shared" si="17"/>
        <v>46.18110236</v>
      </c>
      <c r="AD40" s="8">
        <v>95.0</v>
      </c>
    </row>
    <row r="41" ht="15.75" customHeight="1">
      <c r="A41" s="19"/>
      <c r="B41" s="8" t="s">
        <v>24</v>
      </c>
      <c r="C41" s="19"/>
      <c r="D41" s="19"/>
      <c r="E41" s="19"/>
      <c r="F41" s="19"/>
      <c r="G41" s="8">
        <v>470.0</v>
      </c>
      <c r="H41" s="11">
        <f t="shared" si="18"/>
        <v>18.50393701</v>
      </c>
      <c r="I41" s="8">
        <v>771.0</v>
      </c>
      <c r="J41" s="11">
        <f t="shared" si="7"/>
        <v>30.35433071</v>
      </c>
      <c r="K41" s="8">
        <f>421+Y41</f>
        <v>755</v>
      </c>
      <c r="L41" s="11">
        <f t="shared" si="1"/>
        <v>29.72440945</v>
      </c>
      <c r="M41" s="8">
        <v>604.0</v>
      </c>
      <c r="N41" s="11">
        <f t="shared" si="2"/>
        <v>23.77952756</v>
      </c>
      <c r="O41" s="8">
        <v>612.0</v>
      </c>
      <c r="P41" s="11">
        <f t="shared" si="8"/>
        <v>24.09448819</v>
      </c>
      <c r="Q41" s="8">
        <v>585.0</v>
      </c>
      <c r="R41" s="11">
        <f t="shared" si="9"/>
        <v>23.03149606</v>
      </c>
      <c r="S41" s="8">
        <v>440.0</v>
      </c>
      <c r="T41" s="11">
        <f t="shared" si="3"/>
        <v>17.32283465</v>
      </c>
      <c r="U41" s="8">
        <v>437.0</v>
      </c>
      <c r="V41" s="11">
        <f t="shared" si="15"/>
        <v>17.20472441</v>
      </c>
      <c r="W41" s="8">
        <f t="shared" si="22"/>
        <v>-38</v>
      </c>
      <c r="X41" s="11">
        <f t="shared" si="12"/>
        <v>-1.496062992</v>
      </c>
      <c r="Y41" s="8">
        <f t="shared" si="24"/>
        <v>334</v>
      </c>
      <c r="Z41" s="12">
        <v>66.0</v>
      </c>
      <c r="AA41" s="12">
        <v>76.0</v>
      </c>
      <c r="AB41" s="8">
        <v>1206.0</v>
      </c>
      <c r="AC41" s="11">
        <f t="shared" si="17"/>
        <v>47.48031496</v>
      </c>
      <c r="AD41" s="8">
        <v>105.0</v>
      </c>
    </row>
    <row r="42" ht="15.75" customHeight="1">
      <c r="A42" s="6"/>
      <c r="B42" s="8" t="s">
        <v>37</v>
      </c>
      <c r="C42" s="6"/>
      <c r="D42" s="6"/>
      <c r="E42" s="6"/>
      <c r="F42" s="6"/>
      <c r="G42" s="8">
        <v>496.0</v>
      </c>
      <c r="H42" s="11">
        <f t="shared" si="18"/>
        <v>19.52755906</v>
      </c>
      <c r="I42" s="8">
        <v>802.0</v>
      </c>
      <c r="J42" s="11">
        <f t="shared" si="7"/>
        <v>31.57480315</v>
      </c>
      <c r="K42" s="8">
        <f>422+Y42</f>
        <v>756</v>
      </c>
      <c r="L42" s="11">
        <f t="shared" si="1"/>
        <v>29.76377953</v>
      </c>
      <c r="M42" s="8">
        <v>621.0</v>
      </c>
      <c r="N42" s="11">
        <f t="shared" si="2"/>
        <v>24.4488189</v>
      </c>
      <c r="O42" s="8">
        <v>641.0</v>
      </c>
      <c r="P42" s="11">
        <f t="shared" si="8"/>
        <v>25.23622047</v>
      </c>
      <c r="Q42" s="8">
        <v>641.0</v>
      </c>
      <c r="R42" s="11">
        <f t="shared" si="9"/>
        <v>25.23622047</v>
      </c>
      <c r="S42" s="8">
        <v>490.0</v>
      </c>
      <c r="T42" s="11">
        <f t="shared" si="3"/>
        <v>19.29133858</v>
      </c>
      <c r="U42" s="8">
        <v>437.0</v>
      </c>
      <c r="V42" s="11">
        <f t="shared" si="15"/>
        <v>17.20472441</v>
      </c>
      <c r="W42" s="8">
        <f t="shared" si="22"/>
        <v>-38</v>
      </c>
      <c r="X42" s="11">
        <f t="shared" si="12"/>
        <v>-1.496062992</v>
      </c>
      <c r="Y42" s="8">
        <f t="shared" si="24"/>
        <v>334</v>
      </c>
      <c r="Z42" s="12">
        <v>66.0</v>
      </c>
      <c r="AA42" s="12">
        <v>76.0</v>
      </c>
      <c r="AB42" s="8">
        <v>1237.0</v>
      </c>
      <c r="AC42" s="11">
        <f t="shared" si="17"/>
        <v>48.7007874</v>
      </c>
      <c r="AD42" s="8">
        <v>120.0</v>
      </c>
    </row>
    <row r="43" ht="15.75" customHeight="1">
      <c r="A43" s="13" t="s">
        <v>119</v>
      </c>
      <c r="B43" s="14" t="s">
        <v>65</v>
      </c>
      <c r="C43" s="15" t="s">
        <v>25</v>
      </c>
      <c r="D43" s="15">
        <v>549.0</v>
      </c>
      <c r="E43" s="15">
        <v>140.0</v>
      </c>
      <c r="F43" s="15" t="s">
        <v>26</v>
      </c>
      <c r="G43" s="14">
        <v>425.0</v>
      </c>
      <c r="H43" s="16">
        <f t="shared" si="18"/>
        <v>16.73228346</v>
      </c>
      <c r="I43" s="14">
        <v>760.0</v>
      </c>
      <c r="J43" s="16">
        <f t="shared" si="7"/>
        <v>29.92125984</v>
      </c>
      <c r="K43" s="14">
        <f>434.9+Y43</f>
        <v>744.9</v>
      </c>
      <c r="L43" s="16">
        <f t="shared" si="1"/>
        <v>29.32677165</v>
      </c>
      <c r="M43" s="14">
        <v>641.0</v>
      </c>
      <c r="N43" s="16">
        <f t="shared" si="2"/>
        <v>25.23622047</v>
      </c>
      <c r="O43" s="14">
        <v>609.0</v>
      </c>
      <c r="P43" s="16">
        <f t="shared" si="8"/>
        <v>23.97637795</v>
      </c>
      <c r="Q43" s="14">
        <v>583.0</v>
      </c>
      <c r="R43" s="16">
        <f t="shared" si="9"/>
        <v>22.95275591</v>
      </c>
      <c r="S43" s="14">
        <v>412.0</v>
      </c>
      <c r="T43" s="16">
        <f t="shared" si="3"/>
        <v>16.22047244</v>
      </c>
      <c r="U43" s="14">
        <v>430.0</v>
      </c>
      <c r="V43" s="16">
        <f t="shared" si="15"/>
        <v>16.92913386</v>
      </c>
      <c r="W43" s="14">
        <v>-60.0</v>
      </c>
      <c r="X43" s="16">
        <f t="shared" si="12"/>
        <v>-2.362204724</v>
      </c>
      <c r="Y43" s="14">
        <f t="shared" ref="Y43:Y48" si="25">740/2+W43</f>
        <v>310</v>
      </c>
      <c r="Z43" s="17">
        <v>65.0</v>
      </c>
      <c r="AA43" s="17">
        <v>74.0</v>
      </c>
      <c r="AB43" s="14">
        <v>1183.0</v>
      </c>
      <c r="AC43" s="16">
        <f t="shared" si="17"/>
        <v>46.57480315</v>
      </c>
      <c r="AD43" s="14">
        <v>115.0</v>
      </c>
    </row>
    <row r="44" ht="15.75" customHeight="1">
      <c r="A44" s="19"/>
      <c r="B44" s="14" t="s">
        <v>24</v>
      </c>
      <c r="C44" s="19"/>
      <c r="D44" s="19"/>
      <c r="E44" s="19"/>
      <c r="F44" s="19"/>
      <c r="G44" s="14">
        <v>450.0</v>
      </c>
      <c r="H44" s="16">
        <f t="shared" si="18"/>
        <v>17.71653543</v>
      </c>
      <c r="I44" s="14">
        <v>779.0</v>
      </c>
      <c r="J44" s="16">
        <f t="shared" si="7"/>
        <v>30.66929134</v>
      </c>
      <c r="K44" s="14">
        <f>457.3+Y44</f>
        <v>767.3</v>
      </c>
      <c r="L44" s="16">
        <f t="shared" si="1"/>
        <v>30.20866142</v>
      </c>
      <c r="M44" s="14">
        <v>641.0</v>
      </c>
      <c r="N44" s="16">
        <f t="shared" si="2"/>
        <v>25.23622047</v>
      </c>
      <c r="O44" s="14">
        <v>634.0</v>
      </c>
      <c r="P44" s="16">
        <f t="shared" si="8"/>
        <v>24.96062992</v>
      </c>
      <c r="Q44" s="14">
        <v>603.0</v>
      </c>
      <c r="R44" s="16">
        <f t="shared" si="9"/>
        <v>23.74015748</v>
      </c>
      <c r="S44" s="14">
        <v>450.0</v>
      </c>
      <c r="T44" s="16">
        <f t="shared" si="3"/>
        <v>17.71653543</v>
      </c>
      <c r="U44" s="14">
        <v>430.0</v>
      </c>
      <c r="V44" s="16">
        <f t="shared" si="15"/>
        <v>16.92913386</v>
      </c>
      <c r="W44" s="14">
        <v>-60.0</v>
      </c>
      <c r="X44" s="16">
        <f t="shared" si="12"/>
        <v>-2.362204724</v>
      </c>
      <c r="Y44" s="14">
        <f t="shared" si="25"/>
        <v>310</v>
      </c>
      <c r="Z44" s="17">
        <v>65.0</v>
      </c>
      <c r="AA44" s="17">
        <v>74.0</v>
      </c>
      <c r="AB44" s="14">
        <v>1203.0</v>
      </c>
      <c r="AC44" s="16">
        <f t="shared" si="17"/>
        <v>47.36220472</v>
      </c>
      <c r="AD44" s="14">
        <v>115.0</v>
      </c>
    </row>
    <row r="45" ht="15.75" customHeight="1">
      <c r="A45" s="6"/>
      <c r="B45" s="14" t="s">
        <v>37</v>
      </c>
      <c r="C45" s="6"/>
      <c r="D45" s="6"/>
      <c r="E45" s="6"/>
      <c r="F45" s="6"/>
      <c r="G45" s="14">
        <v>475.0</v>
      </c>
      <c r="H45" s="16">
        <f t="shared" si="18"/>
        <v>18.7007874</v>
      </c>
      <c r="I45" s="14">
        <v>809.0</v>
      </c>
      <c r="J45" s="16">
        <f t="shared" si="7"/>
        <v>31.8503937</v>
      </c>
      <c r="K45" s="14">
        <f>491.7+Y45</f>
        <v>801.7</v>
      </c>
      <c r="L45" s="16">
        <f t="shared" si="1"/>
        <v>31.56299213</v>
      </c>
      <c r="M45" s="14">
        <v>650.0</v>
      </c>
      <c r="N45" s="16">
        <f t="shared" si="2"/>
        <v>25.59055118</v>
      </c>
      <c r="O45" s="14">
        <v>662.0</v>
      </c>
      <c r="P45" s="16">
        <f t="shared" si="8"/>
        <v>26.06299213</v>
      </c>
      <c r="Q45" s="14">
        <v>629.0</v>
      </c>
      <c r="R45" s="16">
        <f t="shared" si="9"/>
        <v>24.76377953</v>
      </c>
      <c r="S45" s="14">
        <v>500.0</v>
      </c>
      <c r="T45" s="16">
        <f t="shared" si="3"/>
        <v>19.68503937</v>
      </c>
      <c r="U45" s="14">
        <v>430.0</v>
      </c>
      <c r="V45" s="16">
        <f t="shared" si="15"/>
        <v>16.92913386</v>
      </c>
      <c r="W45" s="14">
        <v>-60.0</v>
      </c>
      <c r="X45" s="16">
        <f t="shared" si="12"/>
        <v>-2.362204724</v>
      </c>
      <c r="Y45" s="14">
        <f t="shared" si="25"/>
        <v>310</v>
      </c>
      <c r="Z45" s="17">
        <v>65.0</v>
      </c>
      <c r="AA45" s="17">
        <v>74.0</v>
      </c>
      <c r="AB45" s="14">
        <v>1232.0</v>
      </c>
      <c r="AC45" s="16">
        <f t="shared" si="17"/>
        <v>48.50393701</v>
      </c>
      <c r="AD45" s="14">
        <v>125.0</v>
      </c>
    </row>
    <row r="46" ht="15.75" customHeight="1">
      <c r="A46" s="7" t="s">
        <v>120</v>
      </c>
      <c r="B46" s="8" t="s">
        <v>65</v>
      </c>
      <c r="C46" s="9" t="s">
        <v>25</v>
      </c>
      <c r="D46" s="9">
        <v>549.0</v>
      </c>
      <c r="E46" s="9">
        <v>140.0</v>
      </c>
      <c r="F46" s="9" t="s">
        <v>26</v>
      </c>
      <c r="G46" s="8">
        <v>425.0</v>
      </c>
      <c r="H46" s="11">
        <f t="shared" si="18"/>
        <v>16.73228346</v>
      </c>
      <c r="I46" s="8">
        <v>760.0</v>
      </c>
      <c r="J46" s="11">
        <f t="shared" si="7"/>
        <v>29.92125984</v>
      </c>
      <c r="K46" s="8">
        <f>421.9+Y46</f>
        <v>731.9</v>
      </c>
      <c r="L46" s="11">
        <f t="shared" si="1"/>
        <v>28.81496063</v>
      </c>
      <c r="M46" s="8">
        <v>634.0</v>
      </c>
      <c r="N46" s="11">
        <f t="shared" si="2"/>
        <v>24.96062992</v>
      </c>
      <c r="O46" s="8">
        <v>607.0</v>
      </c>
      <c r="P46" s="11">
        <f t="shared" si="8"/>
        <v>23.8976378</v>
      </c>
      <c r="Q46" s="8">
        <v>580.0</v>
      </c>
      <c r="R46" s="11">
        <f t="shared" si="9"/>
        <v>22.83464567</v>
      </c>
      <c r="S46" s="8">
        <v>412.0</v>
      </c>
      <c r="T46" s="11">
        <f t="shared" si="3"/>
        <v>16.22047244</v>
      </c>
      <c r="U46" s="8">
        <v>430.0</v>
      </c>
      <c r="V46" s="11">
        <f t="shared" si="15"/>
        <v>16.92913386</v>
      </c>
      <c r="W46" s="8">
        <v>-60.0</v>
      </c>
      <c r="X46" s="11">
        <f t="shared" si="12"/>
        <v>-2.362204724</v>
      </c>
      <c r="Y46" s="8">
        <f t="shared" si="25"/>
        <v>310</v>
      </c>
      <c r="Z46" s="12">
        <v>65.0</v>
      </c>
      <c r="AA46" s="12">
        <v>74.0</v>
      </c>
      <c r="AB46" s="8">
        <v>1175.0</v>
      </c>
      <c r="AC46" s="11">
        <f t="shared" si="17"/>
        <v>46.25984252</v>
      </c>
      <c r="AD46" s="8">
        <v>105.0</v>
      </c>
    </row>
    <row r="47" ht="15.75" customHeight="1">
      <c r="A47" s="19"/>
      <c r="B47" s="8" t="s">
        <v>24</v>
      </c>
      <c r="C47" s="19"/>
      <c r="D47" s="19"/>
      <c r="E47" s="19"/>
      <c r="F47" s="19"/>
      <c r="G47" s="8">
        <v>450.0</v>
      </c>
      <c r="H47" s="11">
        <f t="shared" si="18"/>
        <v>17.71653543</v>
      </c>
      <c r="I47" s="8">
        <v>780.0</v>
      </c>
      <c r="J47" s="11">
        <f t="shared" si="7"/>
        <v>30.70866142</v>
      </c>
      <c r="K47" s="8">
        <f>447.1+Y47</f>
        <v>757.1</v>
      </c>
      <c r="L47" s="11">
        <f t="shared" si="1"/>
        <v>29.80708661</v>
      </c>
      <c r="M47" s="8">
        <v>643.0</v>
      </c>
      <c r="N47" s="11">
        <f t="shared" si="2"/>
        <v>25.31496063</v>
      </c>
      <c r="O47" s="8">
        <v>635.0</v>
      </c>
      <c r="P47" s="11">
        <f t="shared" si="8"/>
        <v>25</v>
      </c>
      <c r="Q47" s="8">
        <v>603.0</v>
      </c>
      <c r="R47" s="11">
        <f t="shared" si="9"/>
        <v>23.74015748</v>
      </c>
      <c r="S47" s="8">
        <v>450.0</v>
      </c>
      <c r="T47" s="11">
        <f t="shared" si="3"/>
        <v>17.71653543</v>
      </c>
      <c r="U47" s="8">
        <v>430.0</v>
      </c>
      <c r="V47" s="11">
        <f t="shared" si="15"/>
        <v>16.92913386</v>
      </c>
      <c r="W47" s="8">
        <v>-60.0</v>
      </c>
      <c r="X47" s="11">
        <f t="shared" si="12"/>
        <v>-2.362204724</v>
      </c>
      <c r="Y47" s="8">
        <f t="shared" si="25"/>
        <v>310</v>
      </c>
      <c r="Z47" s="12">
        <v>65.0</v>
      </c>
      <c r="AA47" s="12">
        <v>74.0</v>
      </c>
      <c r="AB47" s="8">
        <v>1204.0</v>
      </c>
      <c r="AC47" s="11">
        <f t="shared" si="17"/>
        <v>47.4015748</v>
      </c>
      <c r="AD47" s="8">
        <v>115.0</v>
      </c>
    </row>
    <row r="48" ht="15.75" customHeight="1">
      <c r="A48" s="6"/>
      <c r="B48" s="8" t="s">
        <v>37</v>
      </c>
      <c r="C48" s="6"/>
      <c r="D48" s="6"/>
      <c r="E48" s="6"/>
      <c r="F48" s="6"/>
      <c r="G48" s="8">
        <v>475.0</v>
      </c>
      <c r="H48" s="11">
        <f t="shared" si="18"/>
        <v>18.7007874</v>
      </c>
      <c r="I48" s="8">
        <v>809.0</v>
      </c>
      <c r="J48" s="11">
        <f t="shared" si="7"/>
        <v>31.8503937</v>
      </c>
      <c r="K48" s="8">
        <f>482.9+Y48</f>
        <v>792.9</v>
      </c>
      <c r="L48" s="11">
        <f t="shared" si="1"/>
        <v>31.21653543</v>
      </c>
      <c r="M48" s="8">
        <v>652.0</v>
      </c>
      <c r="N48" s="11">
        <f t="shared" si="2"/>
        <v>25.66929134</v>
      </c>
      <c r="O48" s="8">
        <v>662.0</v>
      </c>
      <c r="P48" s="11">
        <f t="shared" si="8"/>
        <v>26.06299213</v>
      </c>
      <c r="Q48" s="8">
        <v>630.0</v>
      </c>
      <c r="R48" s="11">
        <f t="shared" si="9"/>
        <v>24.80314961</v>
      </c>
      <c r="S48" s="8">
        <v>500.0</v>
      </c>
      <c r="T48" s="11">
        <f t="shared" si="3"/>
        <v>19.68503937</v>
      </c>
      <c r="U48" s="8">
        <v>430.0</v>
      </c>
      <c r="V48" s="11">
        <f t="shared" si="15"/>
        <v>16.92913386</v>
      </c>
      <c r="W48" s="8">
        <v>-60.0</v>
      </c>
      <c r="X48" s="11">
        <f t="shared" si="12"/>
        <v>-2.362204724</v>
      </c>
      <c r="Y48" s="8">
        <f t="shared" si="25"/>
        <v>310</v>
      </c>
      <c r="Z48" s="12">
        <v>65.0</v>
      </c>
      <c r="AA48" s="12">
        <v>74.0</v>
      </c>
      <c r="AB48" s="8">
        <v>1233.0</v>
      </c>
      <c r="AC48" s="11">
        <f t="shared" si="17"/>
        <v>48.54330709</v>
      </c>
      <c r="AD48" s="8">
        <v>125.0</v>
      </c>
    </row>
    <row r="49" ht="15.75" customHeight="1">
      <c r="A49" s="13" t="s">
        <v>121</v>
      </c>
      <c r="B49" s="14" t="s">
        <v>65</v>
      </c>
      <c r="C49" s="15" t="s">
        <v>113</v>
      </c>
      <c r="D49" s="15">
        <v>530.0</v>
      </c>
      <c r="E49" s="15">
        <v>120.0</v>
      </c>
      <c r="F49" s="15" t="s">
        <v>114</v>
      </c>
      <c r="G49" s="14">
        <v>415.0</v>
      </c>
      <c r="H49" s="16">
        <f t="shared" si="18"/>
        <v>16.33858268</v>
      </c>
      <c r="I49" s="14">
        <v>718.0</v>
      </c>
      <c r="J49" s="16">
        <f t="shared" si="7"/>
        <v>28.26771654</v>
      </c>
      <c r="K49" s="14">
        <f>416.1+Y49</f>
        <v>725.1</v>
      </c>
      <c r="L49" s="16">
        <f t="shared" si="1"/>
        <v>28.54724409</v>
      </c>
      <c r="M49" s="14">
        <v>618.0</v>
      </c>
      <c r="N49" s="16">
        <f t="shared" si="2"/>
        <v>24.33070866</v>
      </c>
      <c r="O49" s="14">
        <v>587.0</v>
      </c>
      <c r="P49" s="16">
        <f t="shared" si="8"/>
        <v>23.11023622</v>
      </c>
      <c r="Q49" s="14">
        <v>562.0</v>
      </c>
      <c r="R49" s="16">
        <f t="shared" si="9"/>
        <v>22.12598425</v>
      </c>
      <c r="S49" s="14">
        <v>407.0</v>
      </c>
      <c r="T49" s="16">
        <f t="shared" si="3"/>
        <v>16.02362205</v>
      </c>
      <c r="U49" s="14">
        <v>420.0</v>
      </c>
      <c r="V49" s="16">
        <f t="shared" si="15"/>
        <v>16.53543307</v>
      </c>
      <c r="W49" s="14">
        <v>-55.0</v>
      </c>
      <c r="X49" s="16">
        <f t="shared" si="12"/>
        <v>-2.165354331</v>
      </c>
      <c r="Y49" s="14">
        <f t="shared" ref="Y49:Y51" si="26">728/2+W49</f>
        <v>309</v>
      </c>
      <c r="Z49" s="17">
        <v>66.5</v>
      </c>
      <c r="AA49" s="17">
        <v>74.5</v>
      </c>
      <c r="AB49" s="14">
        <v>1132.0</v>
      </c>
      <c r="AC49" s="16">
        <f t="shared" si="17"/>
        <v>44.56692913</v>
      </c>
      <c r="AD49" s="14">
        <v>105.0</v>
      </c>
    </row>
    <row r="50" ht="15.75" customHeight="1">
      <c r="A50" s="19"/>
      <c r="B50" s="14" t="s">
        <v>24</v>
      </c>
      <c r="C50" s="19"/>
      <c r="D50" s="19"/>
      <c r="E50" s="19"/>
      <c r="F50" s="19"/>
      <c r="G50" s="14">
        <v>436.0</v>
      </c>
      <c r="H50" s="16" t="s">
        <v>122</v>
      </c>
      <c r="I50" s="14">
        <v>743.0</v>
      </c>
      <c r="J50" s="16">
        <f t="shared" si="7"/>
        <v>29.2519685</v>
      </c>
      <c r="K50" s="14">
        <f>441.7+Y50</f>
        <v>750.7</v>
      </c>
      <c r="L50" s="16">
        <f t="shared" si="1"/>
        <v>29.55511811</v>
      </c>
      <c r="M50" s="14">
        <v>628.0</v>
      </c>
      <c r="N50" s="16">
        <f t="shared" si="2"/>
        <v>24.72440945</v>
      </c>
      <c r="O50" s="14">
        <v>610.0</v>
      </c>
      <c r="P50" s="16">
        <f t="shared" si="8"/>
        <v>24.01574803</v>
      </c>
      <c r="Q50" s="14">
        <v>582.0</v>
      </c>
      <c r="R50" s="16">
        <f t="shared" si="9"/>
        <v>22.91338583</v>
      </c>
      <c r="S50" s="14">
        <v>445.0</v>
      </c>
      <c r="T50" s="16">
        <f t="shared" si="3"/>
        <v>17.51968504</v>
      </c>
      <c r="U50" s="14">
        <v>420.0</v>
      </c>
      <c r="V50" s="16">
        <f t="shared" si="15"/>
        <v>16.53543307</v>
      </c>
      <c r="W50" s="14">
        <v>-55.0</v>
      </c>
      <c r="X50" s="16">
        <f t="shared" si="12"/>
        <v>-2.165354331</v>
      </c>
      <c r="Y50" s="14">
        <f t="shared" si="26"/>
        <v>309</v>
      </c>
      <c r="Z50" s="17">
        <v>66.5</v>
      </c>
      <c r="AA50" s="17">
        <v>74.5</v>
      </c>
      <c r="AB50" s="14">
        <v>1157.0</v>
      </c>
      <c r="AC50" s="16">
        <f t="shared" si="17"/>
        <v>45.5511811</v>
      </c>
      <c r="AD50" s="14">
        <v>115.0</v>
      </c>
    </row>
    <row r="51" ht="15.75" customHeight="1">
      <c r="A51" s="6"/>
      <c r="B51" s="14" t="s">
        <v>37</v>
      </c>
      <c r="C51" s="6"/>
      <c r="D51" s="6"/>
      <c r="E51" s="6"/>
      <c r="F51" s="6"/>
      <c r="G51" s="14">
        <v>460.0</v>
      </c>
      <c r="H51" s="16">
        <f t="shared" ref="H51:H65" si="27">G51/25.4</f>
        <v>18.11023622</v>
      </c>
      <c r="I51" s="14">
        <v>771.0</v>
      </c>
      <c r="J51" s="16">
        <f t="shared" si="7"/>
        <v>30.35433071</v>
      </c>
      <c r="K51" s="14">
        <f>476.8+Y51</f>
        <v>785.8</v>
      </c>
      <c r="L51" s="16">
        <f t="shared" si="1"/>
        <v>30.93700787</v>
      </c>
      <c r="M51" s="14">
        <v>637.0</v>
      </c>
      <c r="N51" s="16">
        <f t="shared" si="2"/>
        <v>25.07874016</v>
      </c>
      <c r="O51" s="14">
        <v>637.0</v>
      </c>
      <c r="P51" s="16">
        <f t="shared" si="8"/>
        <v>25.07874016</v>
      </c>
      <c r="Q51" s="14">
        <v>608.0</v>
      </c>
      <c r="R51" s="16">
        <f t="shared" si="9"/>
        <v>23.93700787</v>
      </c>
      <c r="S51" s="14">
        <v>495.0</v>
      </c>
      <c r="T51" s="16">
        <f t="shared" si="3"/>
        <v>19.48818898</v>
      </c>
      <c r="U51" s="14">
        <v>420.0</v>
      </c>
      <c r="V51" s="16">
        <f t="shared" si="15"/>
        <v>16.53543307</v>
      </c>
      <c r="W51" s="14">
        <v>-55.0</v>
      </c>
      <c r="X51" s="16">
        <f t="shared" si="12"/>
        <v>-2.165354331</v>
      </c>
      <c r="Y51" s="14">
        <f t="shared" si="26"/>
        <v>309</v>
      </c>
      <c r="Z51" s="17">
        <v>66.5</v>
      </c>
      <c r="AA51" s="17">
        <v>74.5</v>
      </c>
      <c r="AB51" s="14">
        <v>1185.0</v>
      </c>
      <c r="AC51" s="16">
        <f t="shared" si="17"/>
        <v>46.65354331</v>
      </c>
      <c r="AD51" s="14">
        <v>125.0</v>
      </c>
    </row>
    <row r="52" ht="15.75" customHeight="1">
      <c r="A52" s="8" t="s">
        <v>123</v>
      </c>
      <c r="B52" s="8" t="s">
        <v>91</v>
      </c>
      <c r="C52" s="22" t="s">
        <v>110</v>
      </c>
      <c r="D52" s="22">
        <v>480.0</v>
      </c>
      <c r="E52" s="22">
        <v>100.0</v>
      </c>
      <c r="F52" s="22" t="s">
        <v>124</v>
      </c>
      <c r="G52" s="8">
        <v>405.0</v>
      </c>
      <c r="H52" s="11">
        <f t="shared" si="27"/>
        <v>15.94488189</v>
      </c>
      <c r="I52" s="8">
        <v>648.0</v>
      </c>
      <c r="J52" s="11">
        <f t="shared" si="7"/>
        <v>25.51181102</v>
      </c>
      <c r="K52" s="8">
        <v>743.0</v>
      </c>
      <c r="L52" s="11">
        <f t="shared" si="1"/>
        <v>29.2519685</v>
      </c>
      <c r="M52" s="8">
        <v>560.0</v>
      </c>
      <c r="N52" s="11">
        <f t="shared" si="2"/>
        <v>22.04724409</v>
      </c>
      <c r="O52" s="8">
        <v>589.0</v>
      </c>
      <c r="P52" s="11">
        <f t="shared" si="8"/>
        <v>23.18897638</v>
      </c>
      <c r="Q52" s="8">
        <v>564.0</v>
      </c>
      <c r="R52" s="11">
        <f t="shared" si="9"/>
        <v>22.20472441</v>
      </c>
      <c r="S52" s="8">
        <v>328.0</v>
      </c>
      <c r="T52" s="11">
        <f t="shared" si="3"/>
        <v>12.91338583</v>
      </c>
      <c r="U52" s="8">
        <v>381.0</v>
      </c>
      <c r="V52" s="11">
        <f t="shared" si="15"/>
        <v>15</v>
      </c>
      <c r="W52" s="8">
        <v>-15.0</v>
      </c>
      <c r="X52" s="11">
        <f t="shared" si="12"/>
        <v>-0.5905511811</v>
      </c>
      <c r="Y52" s="8">
        <f t="shared" ref="Y52:Y53" si="28">335+W52</f>
        <v>320</v>
      </c>
      <c r="Z52" s="12">
        <v>70.0</v>
      </c>
      <c r="AA52" s="12">
        <v>70.0</v>
      </c>
      <c r="AB52" s="8">
        <v>1027.6</v>
      </c>
      <c r="AC52" s="11">
        <f t="shared" si="17"/>
        <v>40.45669291</v>
      </c>
      <c r="AD52" s="8">
        <v>115.0</v>
      </c>
    </row>
    <row r="53" ht="15.75" customHeight="1">
      <c r="A53" s="25" t="s">
        <v>125</v>
      </c>
      <c r="B53" s="25" t="s">
        <v>91</v>
      </c>
      <c r="C53" s="31" t="s">
        <v>110</v>
      </c>
      <c r="D53" s="31">
        <v>480.0</v>
      </c>
      <c r="E53" s="31">
        <v>100.0</v>
      </c>
      <c r="F53" s="31" t="s">
        <v>124</v>
      </c>
      <c r="G53" s="25">
        <v>405.0</v>
      </c>
      <c r="H53" s="27">
        <f t="shared" si="27"/>
        <v>15.94488189</v>
      </c>
      <c r="I53" s="25">
        <v>648.1</v>
      </c>
      <c r="J53" s="27">
        <f t="shared" si="7"/>
        <v>25.51574803</v>
      </c>
      <c r="K53" s="25">
        <v>743.0</v>
      </c>
      <c r="L53" s="27">
        <f t="shared" si="1"/>
        <v>29.2519685</v>
      </c>
      <c r="M53" s="25">
        <v>560.0</v>
      </c>
      <c r="N53" s="27">
        <f t="shared" si="2"/>
        <v>22.04724409</v>
      </c>
      <c r="O53" s="25">
        <v>589.0</v>
      </c>
      <c r="P53" s="27">
        <f t="shared" si="8"/>
        <v>23.18897638</v>
      </c>
      <c r="Q53" s="25">
        <v>564.0</v>
      </c>
      <c r="R53" s="27">
        <f t="shared" si="9"/>
        <v>22.20472441</v>
      </c>
      <c r="S53" s="25">
        <v>328.0</v>
      </c>
      <c r="T53" s="27">
        <f t="shared" si="3"/>
        <v>12.91338583</v>
      </c>
      <c r="U53" s="25">
        <v>381.0</v>
      </c>
      <c r="V53" s="27">
        <f t="shared" si="15"/>
        <v>15</v>
      </c>
      <c r="W53" s="25">
        <v>-15.0</v>
      </c>
      <c r="X53" s="27">
        <f t="shared" si="12"/>
        <v>-0.5905511811</v>
      </c>
      <c r="Y53" s="25">
        <f t="shared" si="28"/>
        <v>320</v>
      </c>
      <c r="Z53" s="28">
        <v>70.0</v>
      </c>
      <c r="AA53" s="28">
        <v>70.0</v>
      </c>
      <c r="AB53" s="25">
        <v>1028.0</v>
      </c>
      <c r="AC53" s="27">
        <f t="shared" si="17"/>
        <v>40.47244094</v>
      </c>
      <c r="AD53" s="25">
        <v>115.0</v>
      </c>
    </row>
    <row r="54" ht="15.75" customHeight="1">
      <c r="A54" s="8" t="s">
        <v>126</v>
      </c>
      <c r="B54" s="8" t="s">
        <v>91</v>
      </c>
      <c r="C54" s="22" t="s">
        <v>110</v>
      </c>
      <c r="D54" s="22">
        <v>502.0</v>
      </c>
      <c r="E54" s="22">
        <v>120.0</v>
      </c>
      <c r="F54" s="22" t="s">
        <v>127</v>
      </c>
      <c r="G54" s="8">
        <v>405.0</v>
      </c>
      <c r="H54" s="11">
        <f t="shared" si="27"/>
        <v>15.94488189</v>
      </c>
      <c r="I54" s="8">
        <v>664.4</v>
      </c>
      <c r="J54" s="11">
        <f t="shared" si="7"/>
        <v>26.15748031</v>
      </c>
      <c r="K54" s="8">
        <f>403.9+Y54</f>
        <v>701.4</v>
      </c>
      <c r="L54" s="11">
        <f t="shared" si="1"/>
        <v>27.61417323</v>
      </c>
      <c r="M54" s="8">
        <v>595.7</v>
      </c>
      <c r="N54" s="11">
        <f t="shared" si="2"/>
        <v>23.45275591</v>
      </c>
      <c r="O54" s="8">
        <v>588.0</v>
      </c>
      <c r="P54" s="11">
        <f t="shared" si="8"/>
        <v>23.1496063</v>
      </c>
      <c r="Q54" s="8">
        <v>565.7</v>
      </c>
      <c r="R54" s="11">
        <f t="shared" si="9"/>
        <v>22.27165354</v>
      </c>
      <c r="S54" s="8">
        <v>375.0</v>
      </c>
      <c r="T54" s="11">
        <f t="shared" si="3"/>
        <v>14.76377953</v>
      </c>
      <c r="U54" s="8">
        <v>400.0</v>
      </c>
      <c r="V54" s="11">
        <f t="shared" si="15"/>
        <v>15.7480315</v>
      </c>
      <c r="W54" s="8">
        <v>-35.0</v>
      </c>
      <c r="X54" s="11">
        <f t="shared" si="12"/>
        <v>-1.377952756</v>
      </c>
      <c r="Y54" s="8">
        <f>665/2+W54</f>
        <v>297.5</v>
      </c>
      <c r="Z54" s="12">
        <v>68.0</v>
      </c>
      <c r="AA54" s="12">
        <v>73.0</v>
      </c>
      <c r="AB54" s="8">
        <v>1077.0</v>
      </c>
      <c r="AC54" s="11">
        <f t="shared" si="17"/>
        <v>42.4015748</v>
      </c>
      <c r="AD54" s="8">
        <v>115.0</v>
      </c>
    </row>
    <row r="55" ht="15.75" customHeight="1">
      <c r="A55" s="24" t="s">
        <v>128</v>
      </c>
      <c r="B55" s="25" t="s">
        <v>65</v>
      </c>
      <c r="C55" s="26" t="s">
        <v>73</v>
      </c>
      <c r="D55" s="26">
        <v>412.0</v>
      </c>
      <c r="E55" s="26" t="s">
        <v>129</v>
      </c>
      <c r="F55" s="26" t="s">
        <v>130</v>
      </c>
      <c r="G55" s="25">
        <v>400.0</v>
      </c>
      <c r="H55" s="27">
        <f t="shared" si="27"/>
        <v>15.7480315</v>
      </c>
      <c r="I55" s="25">
        <v>629.0</v>
      </c>
      <c r="J55" s="27">
        <f t="shared" si="7"/>
        <v>24.76377953</v>
      </c>
      <c r="K55" s="25">
        <f>518+Y55</f>
        <v>788</v>
      </c>
      <c r="L55" s="27">
        <f t="shared" si="1"/>
        <v>31.02362205</v>
      </c>
      <c r="M55" s="25">
        <v>588.0</v>
      </c>
      <c r="N55" s="27">
        <f t="shared" si="2"/>
        <v>23.1496063</v>
      </c>
      <c r="O55" s="25">
        <v>586.0</v>
      </c>
      <c r="P55" s="27">
        <f t="shared" si="8"/>
        <v>23.07086614</v>
      </c>
      <c r="Q55" s="25">
        <v>559.0</v>
      </c>
      <c r="R55" s="27">
        <f t="shared" si="9"/>
        <v>22.00787402</v>
      </c>
      <c r="S55" s="25">
        <v>500.0</v>
      </c>
      <c r="T55" s="27">
        <f t="shared" si="3"/>
        <v>19.68503937</v>
      </c>
      <c r="U55" s="25">
        <v>420.0</v>
      </c>
      <c r="V55" s="27">
        <f t="shared" si="15"/>
        <v>16.53543307</v>
      </c>
      <c r="W55" s="25">
        <v>-69.0</v>
      </c>
      <c r="X55" s="27">
        <f t="shared" si="12"/>
        <v>-2.716535433</v>
      </c>
      <c r="Y55" s="25">
        <f t="shared" ref="Y55:Y57" si="29">678/2+W55</f>
        <v>270</v>
      </c>
      <c r="Z55" s="28">
        <v>71.5</v>
      </c>
      <c r="AA55" s="28">
        <v>73.0</v>
      </c>
      <c r="AB55" s="25">
        <v>1040.0</v>
      </c>
      <c r="AC55" s="27">
        <f t="shared" si="17"/>
        <v>40.94488189</v>
      </c>
      <c r="AD55" s="25">
        <v>150.0</v>
      </c>
    </row>
    <row r="56" ht="15.75" customHeight="1">
      <c r="A56" s="19"/>
      <c r="B56" s="25" t="s">
        <v>24</v>
      </c>
      <c r="C56" s="19"/>
      <c r="D56" s="19"/>
      <c r="E56" s="19"/>
      <c r="F56" s="19"/>
      <c r="G56" s="25">
        <v>415.0</v>
      </c>
      <c r="H56" s="27">
        <f t="shared" si="27"/>
        <v>16.33858268</v>
      </c>
      <c r="I56" s="25">
        <v>643.0</v>
      </c>
      <c r="J56" s="27">
        <f t="shared" si="7"/>
        <v>25.31496063</v>
      </c>
      <c r="K56" s="25">
        <f>542+Y56</f>
        <v>812</v>
      </c>
      <c r="L56" s="27">
        <f t="shared" si="1"/>
        <v>31.96850394</v>
      </c>
      <c r="M56" s="25">
        <v>597.0</v>
      </c>
      <c r="N56" s="27">
        <f t="shared" si="2"/>
        <v>23.50393701</v>
      </c>
      <c r="O56" s="25">
        <v>599.0</v>
      </c>
      <c r="P56" s="27">
        <f t="shared" si="8"/>
        <v>23.58267717</v>
      </c>
      <c r="Q56" s="25">
        <v>576.0</v>
      </c>
      <c r="R56" s="27">
        <f t="shared" si="9"/>
        <v>22.67716535</v>
      </c>
      <c r="S56" s="25">
        <v>535.0</v>
      </c>
      <c r="T56" s="27">
        <f t="shared" si="3"/>
        <v>21.06299213</v>
      </c>
      <c r="U56" s="25">
        <v>420.0</v>
      </c>
      <c r="V56" s="27">
        <f t="shared" si="15"/>
        <v>16.53543307</v>
      </c>
      <c r="W56" s="25">
        <v>-69.0</v>
      </c>
      <c r="X56" s="27">
        <f t="shared" si="12"/>
        <v>-2.716535433</v>
      </c>
      <c r="Y56" s="25">
        <f t="shared" si="29"/>
        <v>270</v>
      </c>
      <c r="Z56" s="28">
        <v>71.5</v>
      </c>
      <c r="AA56" s="28">
        <v>73.0</v>
      </c>
      <c r="AB56" s="25">
        <v>1053.0</v>
      </c>
      <c r="AC56" s="27">
        <f t="shared" si="17"/>
        <v>41.45669291</v>
      </c>
      <c r="AD56" s="25">
        <v>160.0</v>
      </c>
    </row>
    <row r="57" ht="15.75" customHeight="1">
      <c r="A57" s="6"/>
      <c r="B57" s="25" t="s">
        <v>37</v>
      </c>
      <c r="C57" s="6"/>
      <c r="D57" s="6"/>
      <c r="E57" s="6"/>
      <c r="F57" s="6"/>
      <c r="G57" s="25">
        <v>430.0</v>
      </c>
      <c r="H57" s="27">
        <f t="shared" si="27"/>
        <v>16.92913386</v>
      </c>
      <c r="I57" s="25">
        <v>663.0</v>
      </c>
      <c r="J57" s="27">
        <f t="shared" si="7"/>
        <v>26.1023622</v>
      </c>
      <c r="K57" s="25">
        <f>568+Y57</f>
        <v>838</v>
      </c>
      <c r="L57" s="27">
        <f t="shared" si="1"/>
        <v>32.99212598</v>
      </c>
      <c r="M57" s="25">
        <v>612.0</v>
      </c>
      <c r="N57" s="27">
        <f t="shared" si="2"/>
        <v>24.09448819</v>
      </c>
      <c r="O57" s="25">
        <v>618.0</v>
      </c>
      <c r="P57" s="27">
        <f t="shared" si="8"/>
        <v>24.33070866</v>
      </c>
      <c r="Q57" s="25">
        <v>599.0</v>
      </c>
      <c r="R57" s="27">
        <f t="shared" si="9"/>
        <v>23.58267717</v>
      </c>
      <c r="S57" s="25">
        <v>570.0</v>
      </c>
      <c r="T57" s="27">
        <f t="shared" si="3"/>
        <v>22.44094488</v>
      </c>
      <c r="U57" s="25">
        <v>420.0</v>
      </c>
      <c r="V57" s="27">
        <f t="shared" si="15"/>
        <v>16.53543307</v>
      </c>
      <c r="W57" s="25">
        <v>-69.0</v>
      </c>
      <c r="X57" s="27">
        <f t="shared" si="12"/>
        <v>-2.716535433</v>
      </c>
      <c r="Y57" s="25">
        <f t="shared" si="29"/>
        <v>270</v>
      </c>
      <c r="Z57" s="28">
        <v>71.5</v>
      </c>
      <c r="AA57" s="28">
        <v>73.0</v>
      </c>
      <c r="AB57" s="25">
        <v>1073.0</v>
      </c>
      <c r="AC57" s="27">
        <f t="shared" si="17"/>
        <v>42.24409449</v>
      </c>
      <c r="AD57" s="25">
        <v>175.0</v>
      </c>
    </row>
    <row r="58" ht="15.75" customHeight="1">
      <c r="A58" s="7" t="s">
        <v>131</v>
      </c>
      <c r="B58" s="8" t="s">
        <v>65</v>
      </c>
      <c r="C58" s="7" t="s">
        <v>132</v>
      </c>
      <c r="D58" s="7">
        <v>400.0</v>
      </c>
      <c r="E58" s="18" t="s">
        <v>129</v>
      </c>
      <c r="F58" s="18" t="s">
        <v>133</v>
      </c>
      <c r="G58" s="8">
        <v>379.0</v>
      </c>
      <c r="H58" s="11">
        <f t="shared" si="27"/>
        <v>14.92125984</v>
      </c>
      <c r="I58" s="8">
        <v>609.0</v>
      </c>
      <c r="J58" s="11">
        <f t="shared" si="7"/>
        <v>23.97637795</v>
      </c>
      <c r="K58" s="8">
        <f>466+Y58</f>
        <v>756</v>
      </c>
      <c r="L58" s="11">
        <f t="shared" si="1"/>
        <v>29.76377953</v>
      </c>
      <c r="M58" s="8">
        <v>526.0</v>
      </c>
      <c r="N58" s="11">
        <f t="shared" si="2"/>
        <v>20.70866142</v>
      </c>
      <c r="O58" s="8">
        <v>545.0</v>
      </c>
      <c r="P58" s="11">
        <f t="shared" si="8"/>
        <v>21.45669291</v>
      </c>
      <c r="Q58" s="8">
        <v>526.0</v>
      </c>
      <c r="R58" s="11">
        <f t="shared" si="9"/>
        <v>20.70866142</v>
      </c>
      <c r="S58" s="8">
        <v>475.0</v>
      </c>
      <c r="T58" s="11">
        <f t="shared" si="3"/>
        <v>18.7007874</v>
      </c>
      <c r="U58" s="8">
        <v>428.0</v>
      </c>
      <c r="V58" s="11">
        <f t="shared" si="15"/>
        <v>16.8503937</v>
      </c>
      <c r="W58" s="8">
        <v>-70.0</v>
      </c>
      <c r="X58" s="11">
        <f t="shared" si="12"/>
        <v>-2.755905512</v>
      </c>
      <c r="Y58" s="8">
        <f>720/2-70</f>
        <v>290</v>
      </c>
      <c r="Z58" s="12">
        <v>69.5</v>
      </c>
      <c r="AA58" s="12">
        <v>73.0</v>
      </c>
      <c r="AB58" s="8">
        <v>1026.0</v>
      </c>
      <c r="AC58" s="11">
        <f t="shared" si="17"/>
        <v>40.39370079</v>
      </c>
      <c r="AD58" s="8">
        <v>125.0</v>
      </c>
    </row>
    <row r="59" ht="15.75" customHeight="1">
      <c r="A59" s="19"/>
      <c r="B59" s="8" t="s">
        <v>24</v>
      </c>
      <c r="C59" s="19"/>
      <c r="D59" s="19"/>
      <c r="E59" s="19"/>
      <c r="F59" s="19"/>
      <c r="G59" s="8">
        <v>387.0</v>
      </c>
      <c r="H59" s="11">
        <f t="shared" si="27"/>
        <v>15.23622047</v>
      </c>
      <c r="I59" s="8">
        <v>615.0</v>
      </c>
      <c r="J59" s="11">
        <f t="shared" si="7"/>
        <v>24.21259843</v>
      </c>
      <c r="K59" s="8">
        <f>495+Y59</f>
        <v>784.5</v>
      </c>
      <c r="L59" s="11">
        <f t="shared" si="1"/>
        <v>30.88582677</v>
      </c>
      <c r="M59" s="8">
        <v>569.0</v>
      </c>
      <c r="N59" s="11">
        <f t="shared" si="2"/>
        <v>22.4015748</v>
      </c>
      <c r="O59" s="8">
        <v>560.0</v>
      </c>
      <c r="P59" s="11">
        <f t="shared" si="8"/>
        <v>22.04724409</v>
      </c>
      <c r="Q59" s="8">
        <v>542.0</v>
      </c>
      <c r="R59" s="11">
        <f t="shared" si="9"/>
        <v>21.33858268</v>
      </c>
      <c r="S59" s="8">
        <v>510.0</v>
      </c>
      <c r="T59" s="11">
        <f t="shared" si="3"/>
        <v>20.07874016</v>
      </c>
      <c r="U59" s="8">
        <v>428.0</v>
      </c>
      <c r="V59" s="11">
        <f t="shared" si="15"/>
        <v>16.8503937</v>
      </c>
      <c r="W59" s="8">
        <v>-71.0</v>
      </c>
      <c r="X59" s="11">
        <f t="shared" si="12"/>
        <v>-2.795275591</v>
      </c>
      <c r="Y59" s="8">
        <f t="shared" ref="Y59:Y61" si="30">359.5-70</f>
        <v>289.5</v>
      </c>
      <c r="Z59" s="12">
        <v>70.5</v>
      </c>
      <c r="AA59" s="12">
        <v>73.0</v>
      </c>
      <c r="AB59" s="8">
        <v>1033.0</v>
      </c>
      <c r="AC59" s="11">
        <f t="shared" si="17"/>
        <v>40.66929134</v>
      </c>
      <c r="AD59" s="8">
        <v>145.0</v>
      </c>
    </row>
    <row r="60" ht="15.75" customHeight="1">
      <c r="A60" s="19"/>
      <c r="B60" s="8" t="s">
        <v>37</v>
      </c>
      <c r="C60" s="19"/>
      <c r="D60" s="19"/>
      <c r="E60" s="19"/>
      <c r="F60" s="19"/>
      <c r="G60" s="8">
        <v>400.0</v>
      </c>
      <c r="H60" s="11">
        <f t="shared" si="27"/>
        <v>15.7480315</v>
      </c>
      <c r="I60" s="8">
        <v>636.0</v>
      </c>
      <c r="J60" s="11">
        <f t="shared" si="7"/>
        <v>25.03937008</v>
      </c>
      <c r="K60" s="8">
        <f>528+Y60</f>
        <v>817.5</v>
      </c>
      <c r="L60" s="11">
        <f t="shared" si="1"/>
        <v>32.18503937</v>
      </c>
      <c r="M60" s="8">
        <v>592.0</v>
      </c>
      <c r="N60" s="11">
        <f t="shared" si="2"/>
        <v>23.30708661</v>
      </c>
      <c r="O60" s="8">
        <v>581.0</v>
      </c>
      <c r="P60" s="11">
        <f t="shared" si="8"/>
        <v>22.87401575</v>
      </c>
      <c r="Q60" s="8">
        <v>563.0</v>
      </c>
      <c r="R60" s="11">
        <f t="shared" si="9"/>
        <v>22.16535433</v>
      </c>
      <c r="S60" s="8">
        <v>540.0</v>
      </c>
      <c r="T60" s="11">
        <f t="shared" si="3"/>
        <v>21.25984252</v>
      </c>
      <c r="U60" s="8">
        <v>428.0</v>
      </c>
      <c r="V60" s="11">
        <f t="shared" si="15"/>
        <v>16.8503937</v>
      </c>
      <c r="W60" s="8">
        <v>-71.0</v>
      </c>
      <c r="X60" s="11">
        <f t="shared" si="12"/>
        <v>-2.795275591</v>
      </c>
      <c r="Y60" s="8">
        <f t="shared" si="30"/>
        <v>289.5</v>
      </c>
      <c r="Z60" s="12">
        <v>70.5</v>
      </c>
      <c r="AA60" s="12">
        <v>73.0</v>
      </c>
      <c r="AB60" s="8">
        <v>1055.0</v>
      </c>
      <c r="AC60" s="11">
        <f t="shared" si="17"/>
        <v>41.53543307</v>
      </c>
      <c r="AD60" s="8">
        <v>170.0</v>
      </c>
    </row>
    <row r="61" ht="15.75" customHeight="1">
      <c r="A61" s="6"/>
      <c r="B61" s="8" t="s">
        <v>115</v>
      </c>
      <c r="C61" s="6"/>
      <c r="D61" s="6"/>
      <c r="E61" s="6"/>
      <c r="F61" s="6"/>
      <c r="G61" s="8">
        <v>410.0</v>
      </c>
      <c r="H61" s="11">
        <f t="shared" si="27"/>
        <v>16.14173228</v>
      </c>
      <c r="I61" s="8">
        <v>656.0</v>
      </c>
      <c r="J61" s="11">
        <f t="shared" si="7"/>
        <v>25.82677165</v>
      </c>
      <c r="K61" s="8">
        <f>556+Y61</f>
        <v>845.5</v>
      </c>
      <c r="L61" s="11">
        <f t="shared" si="1"/>
        <v>33.28740157</v>
      </c>
      <c r="M61" s="8">
        <v>620.0</v>
      </c>
      <c r="N61" s="11">
        <f t="shared" si="2"/>
        <v>24.40944882</v>
      </c>
      <c r="O61" s="8">
        <v>599.0</v>
      </c>
      <c r="P61" s="11">
        <f t="shared" si="8"/>
        <v>23.58267717</v>
      </c>
      <c r="Q61" s="8">
        <v>581.0</v>
      </c>
      <c r="R61" s="11">
        <f t="shared" si="9"/>
        <v>22.87401575</v>
      </c>
      <c r="S61" s="8">
        <v>570.0</v>
      </c>
      <c r="T61" s="11">
        <f t="shared" si="3"/>
        <v>22.44094488</v>
      </c>
      <c r="U61" s="8">
        <v>428.0</v>
      </c>
      <c r="V61" s="11">
        <f t="shared" si="15"/>
        <v>16.8503937</v>
      </c>
      <c r="W61" s="8">
        <v>-70.0</v>
      </c>
      <c r="X61" s="11">
        <f t="shared" si="12"/>
        <v>-2.755905512</v>
      </c>
      <c r="Y61" s="8">
        <f t="shared" si="30"/>
        <v>289.5</v>
      </c>
      <c r="Z61" s="12">
        <v>70.5</v>
      </c>
      <c r="AA61" s="12">
        <v>73.0</v>
      </c>
      <c r="AB61" s="8">
        <v>1075.0</v>
      </c>
      <c r="AC61" s="11">
        <f t="shared" si="17"/>
        <v>42.32283465</v>
      </c>
      <c r="AD61" s="8">
        <v>200.0</v>
      </c>
    </row>
    <row r="62" ht="15.75" hidden="1" customHeight="1">
      <c r="A62" s="24" t="s">
        <v>134</v>
      </c>
      <c r="B62" s="25" t="s">
        <v>65</v>
      </c>
      <c r="C62" s="24" t="s">
        <v>132</v>
      </c>
      <c r="D62" s="24">
        <v>400.0</v>
      </c>
      <c r="E62" s="33" t="s">
        <v>129</v>
      </c>
      <c r="F62" s="33" t="s">
        <v>135</v>
      </c>
      <c r="G62" s="25">
        <v>384.0</v>
      </c>
      <c r="H62" s="27">
        <f t="shared" si="27"/>
        <v>15.11811024</v>
      </c>
      <c r="I62" s="25">
        <v>618.0</v>
      </c>
      <c r="J62" s="27">
        <f t="shared" si="7"/>
        <v>24.33070866</v>
      </c>
      <c r="K62" s="25">
        <f>470.78+Y62</f>
        <v>749.78</v>
      </c>
      <c r="L62" s="27">
        <f t="shared" si="1"/>
        <v>29.51889764</v>
      </c>
      <c r="M62" s="25">
        <v>577.0</v>
      </c>
      <c r="N62" s="27">
        <f t="shared" si="2"/>
        <v>22.71653543</v>
      </c>
      <c r="O62" s="25">
        <v>550.0</v>
      </c>
      <c r="P62" s="27">
        <f t="shared" si="8"/>
        <v>21.65354331</v>
      </c>
      <c r="Q62" s="25">
        <v>525.0</v>
      </c>
      <c r="R62" s="27">
        <f t="shared" si="9"/>
        <v>20.66929134</v>
      </c>
      <c r="S62" s="25">
        <v>460.0</v>
      </c>
      <c r="T62" s="27">
        <f t="shared" si="3"/>
        <v>18.11023622</v>
      </c>
      <c r="U62" s="25">
        <v>425.0</v>
      </c>
      <c r="V62" s="27">
        <f t="shared" si="15"/>
        <v>16.73228346</v>
      </c>
      <c r="W62" s="25">
        <v>-70.0</v>
      </c>
      <c r="X62" s="27">
        <f t="shared" si="12"/>
        <v>-2.755905512</v>
      </c>
      <c r="Y62" s="25">
        <f t="shared" ref="Y62:Y65" si="31">698/2-70</f>
        <v>279</v>
      </c>
      <c r="Z62" s="28">
        <v>69.5</v>
      </c>
      <c r="AA62" s="28">
        <v>73.4</v>
      </c>
      <c r="AB62" s="25">
        <v>1033.0</v>
      </c>
      <c r="AC62" s="27">
        <f t="shared" si="17"/>
        <v>40.66929134</v>
      </c>
      <c r="AD62" s="25">
        <v>140.0</v>
      </c>
    </row>
    <row r="63" ht="15.75" hidden="1" customHeight="1">
      <c r="A63" s="19"/>
      <c r="B63" s="25" t="s">
        <v>24</v>
      </c>
      <c r="C63" s="19"/>
      <c r="D63" s="19"/>
      <c r="E63" s="19"/>
      <c r="F63" s="19"/>
      <c r="G63" s="25">
        <v>392.0</v>
      </c>
      <c r="H63" s="27">
        <f t="shared" si="27"/>
        <v>15.43307087</v>
      </c>
      <c r="I63" s="25">
        <v>633.0</v>
      </c>
      <c r="J63" s="27">
        <f t="shared" si="7"/>
        <v>24.92125984</v>
      </c>
      <c r="K63" s="25">
        <f>492+Y63</f>
        <v>771</v>
      </c>
      <c r="L63" s="27">
        <f t="shared" si="1"/>
        <v>30.35433071</v>
      </c>
      <c r="M63" s="25">
        <v>576.0</v>
      </c>
      <c r="N63" s="27">
        <f t="shared" si="2"/>
        <v>22.67716535</v>
      </c>
      <c r="O63" s="25">
        <v>563.0</v>
      </c>
      <c r="P63" s="27">
        <f t="shared" si="8"/>
        <v>22.16535433</v>
      </c>
      <c r="Q63" s="25">
        <v>539.0</v>
      </c>
      <c r="R63" s="27">
        <f t="shared" si="9"/>
        <v>21.22047244</v>
      </c>
      <c r="S63" s="25">
        <v>485.0</v>
      </c>
      <c r="T63" s="27">
        <f t="shared" si="3"/>
        <v>19.09448819</v>
      </c>
      <c r="U63" s="25">
        <v>425.0</v>
      </c>
      <c r="V63" s="27">
        <f t="shared" si="15"/>
        <v>16.73228346</v>
      </c>
      <c r="W63" s="25">
        <v>-70.0</v>
      </c>
      <c r="X63" s="27">
        <f t="shared" si="12"/>
        <v>-2.755905512</v>
      </c>
      <c r="Y63" s="25">
        <f t="shared" si="31"/>
        <v>279</v>
      </c>
      <c r="Z63" s="28">
        <v>69.5</v>
      </c>
      <c r="AA63" s="28">
        <v>73.4</v>
      </c>
      <c r="AB63" s="25">
        <v>1048.0</v>
      </c>
      <c r="AC63" s="27">
        <f t="shared" si="17"/>
        <v>41.25984252</v>
      </c>
      <c r="AD63" s="25">
        <v>160.0</v>
      </c>
    </row>
    <row r="64" ht="15.75" hidden="1" customHeight="1">
      <c r="A64" s="19"/>
      <c r="B64" s="25" t="s">
        <v>37</v>
      </c>
      <c r="C64" s="19"/>
      <c r="D64" s="19"/>
      <c r="E64" s="19"/>
      <c r="F64" s="19"/>
      <c r="G64" s="25">
        <v>400.0</v>
      </c>
      <c r="H64" s="27">
        <f t="shared" si="27"/>
        <v>15.7480315</v>
      </c>
      <c r="I64" s="25">
        <v>651.0</v>
      </c>
      <c r="J64" s="27">
        <f t="shared" si="7"/>
        <v>25.62992126</v>
      </c>
      <c r="K64" s="25">
        <f>522+Y64</f>
        <v>801</v>
      </c>
      <c r="L64" s="27">
        <f t="shared" si="1"/>
        <v>31.53543307</v>
      </c>
      <c r="M64" s="25">
        <v>604.0</v>
      </c>
      <c r="N64" s="27">
        <f t="shared" si="2"/>
        <v>23.77952756</v>
      </c>
      <c r="O64" s="25">
        <v>580.0</v>
      </c>
      <c r="P64" s="27">
        <f t="shared" si="8"/>
        <v>22.83464567</v>
      </c>
      <c r="Q64" s="25">
        <v>555.0</v>
      </c>
      <c r="R64" s="27">
        <f t="shared" si="9"/>
        <v>21.8503937</v>
      </c>
      <c r="S64" s="25">
        <v>510.0</v>
      </c>
      <c r="T64" s="27">
        <f t="shared" si="3"/>
        <v>20.07874016</v>
      </c>
      <c r="U64" s="25">
        <v>425.0</v>
      </c>
      <c r="V64" s="27">
        <f t="shared" si="15"/>
        <v>16.73228346</v>
      </c>
      <c r="W64" s="25">
        <v>-70.0</v>
      </c>
      <c r="X64" s="27">
        <f t="shared" si="12"/>
        <v>-2.755905512</v>
      </c>
      <c r="Y64" s="25">
        <f t="shared" si="31"/>
        <v>279</v>
      </c>
      <c r="Z64" s="28">
        <v>69.5</v>
      </c>
      <c r="AA64" s="28">
        <v>73.4</v>
      </c>
      <c r="AB64" s="25">
        <v>1066.0</v>
      </c>
      <c r="AC64" s="27">
        <f t="shared" si="17"/>
        <v>41.96850394</v>
      </c>
      <c r="AD64" s="25">
        <v>190.0</v>
      </c>
    </row>
    <row r="65" ht="15.75" hidden="1" customHeight="1">
      <c r="A65" s="6"/>
      <c r="B65" s="25" t="s">
        <v>115</v>
      </c>
      <c r="C65" s="6"/>
      <c r="D65" s="6"/>
      <c r="E65" s="6"/>
      <c r="F65" s="6"/>
      <c r="G65" s="25">
        <v>410.0</v>
      </c>
      <c r="H65" s="27">
        <f t="shared" si="27"/>
        <v>16.14173228</v>
      </c>
      <c r="I65" s="25">
        <v>672.0</v>
      </c>
      <c r="J65" s="27">
        <f t="shared" si="7"/>
        <v>26.45669291</v>
      </c>
      <c r="K65" s="25">
        <f>545+Y65</f>
        <v>824</v>
      </c>
      <c r="L65" s="27">
        <f t="shared" si="1"/>
        <v>32.44094488</v>
      </c>
      <c r="M65" s="25">
        <v>632.0</v>
      </c>
      <c r="N65" s="27">
        <f t="shared" si="2"/>
        <v>24.88188976</v>
      </c>
      <c r="O65" s="25">
        <v>598.0</v>
      </c>
      <c r="P65" s="27">
        <f t="shared" si="8"/>
        <v>23.54330709</v>
      </c>
      <c r="Q65" s="25">
        <v>572.0</v>
      </c>
      <c r="R65" s="27">
        <f t="shared" si="9"/>
        <v>22.51968504</v>
      </c>
      <c r="S65" s="25">
        <v>530.0</v>
      </c>
      <c r="T65" s="27">
        <f t="shared" si="3"/>
        <v>20.86614173</v>
      </c>
      <c r="U65" s="25">
        <v>425.0</v>
      </c>
      <c r="V65" s="27">
        <f t="shared" si="15"/>
        <v>16.73228346</v>
      </c>
      <c r="W65" s="25">
        <v>-70.0</v>
      </c>
      <c r="X65" s="27">
        <f t="shared" si="12"/>
        <v>-2.755905512</v>
      </c>
      <c r="Y65" s="25">
        <f t="shared" si="31"/>
        <v>279</v>
      </c>
      <c r="Z65" s="28">
        <v>69.5</v>
      </c>
      <c r="AA65" s="28">
        <v>73.4</v>
      </c>
      <c r="AB65" s="25">
        <v>1087.0</v>
      </c>
      <c r="AC65" s="27">
        <f t="shared" si="17"/>
        <v>42.79527559</v>
      </c>
      <c r="AD65" s="25">
        <v>220.0</v>
      </c>
    </row>
    <row r="66" ht="15.75" customHeight="1">
      <c r="A66" s="7" t="s">
        <v>136</v>
      </c>
      <c r="B66" s="8" t="s">
        <v>65</v>
      </c>
      <c r="C66" s="7" t="s">
        <v>132</v>
      </c>
      <c r="D66" s="7">
        <v>400.0</v>
      </c>
      <c r="E66" s="18" t="s">
        <v>137</v>
      </c>
      <c r="F66" s="18" t="s">
        <v>138</v>
      </c>
      <c r="G66" s="8">
        <v>380.0</v>
      </c>
      <c r="H66" s="11">
        <v>15.0</v>
      </c>
      <c r="I66" s="8">
        <v>589.0</v>
      </c>
      <c r="J66" s="11">
        <v>23.2</v>
      </c>
      <c r="K66" s="8">
        <v>785.0</v>
      </c>
      <c r="L66" s="11">
        <v>30.9</v>
      </c>
      <c r="M66" s="8">
        <v>539.0</v>
      </c>
      <c r="N66" s="11">
        <v>21.2</v>
      </c>
      <c r="O66" s="8">
        <v>539.0</v>
      </c>
      <c r="P66" s="11">
        <v>21.2</v>
      </c>
      <c r="Q66" s="8">
        <v>526.0</v>
      </c>
      <c r="R66" s="11">
        <v>20.7</v>
      </c>
      <c r="S66" s="8">
        <v>520.0</v>
      </c>
      <c r="T66" s="11">
        <v>20.5</v>
      </c>
      <c r="U66" s="8">
        <v>420.0</v>
      </c>
      <c r="V66" s="11">
        <v>16.5</v>
      </c>
      <c r="W66" s="8">
        <v>-67.0</v>
      </c>
      <c r="X66" s="11">
        <v>-2.6</v>
      </c>
      <c r="Y66" s="8">
        <v>282.0</v>
      </c>
      <c r="Z66" s="12">
        <v>71.5</v>
      </c>
      <c r="AA66" s="12">
        <v>73.5</v>
      </c>
      <c r="AB66" s="8">
        <v>1000.0</v>
      </c>
      <c r="AC66" s="11">
        <v>39.4</v>
      </c>
      <c r="AD66" s="8">
        <v>110.0</v>
      </c>
    </row>
    <row r="67" ht="15.75" customHeight="1">
      <c r="A67" s="19"/>
      <c r="B67" s="8" t="s">
        <v>24</v>
      </c>
      <c r="C67" s="19"/>
      <c r="D67" s="19"/>
      <c r="E67" s="19"/>
      <c r="F67" s="19"/>
      <c r="G67" s="8">
        <v>388.0</v>
      </c>
      <c r="H67" s="11">
        <v>15.3</v>
      </c>
      <c r="I67" s="8">
        <v>595.0</v>
      </c>
      <c r="J67" s="11">
        <v>23.4</v>
      </c>
      <c r="K67" s="8">
        <v>806.0</v>
      </c>
      <c r="L67" s="11">
        <v>31.7</v>
      </c>
      <c r="M67" s="8">
        <v>562.0</v>
      </c>
      <c r="N67" s="11">
        <v>22.1</v>
      </c>
      <c r="O67" s="8">
        <v>560.0</v>
      </c>
      <c r="P67" s="11">
        <v>22.0</v>
      </c>
      <c r="Q67" s="8">
        <v>544.0</v>
      </c>
      <c r="R67" s="11">
        <v>21.4</v>
      </c>
      <c r="S67" s="8">
        <v>540.0</v>
      </c>
      <c r="T67" s="11">
        <v>21.3</v>
      </c>
      <c r="U67" s="8">
        <v>420.0</v>
      </c>
      <c r="V67" s="11">
        <v>16.5</v>
      </c>
      <c r="W67" s="8">
        <v>-67.0</v>
      </c>
      <c r="X67" s="11">
        <v>-2.6</v>
      </c>
      <c r="Y67" s="8">
        <v>282.0</v>
      </c>
      <c r="Z67" s="12">
        <v>72.5</v>
      </c>
      <c r="AA67" s="12">
        <v>73.0</v>
      </c>
      <c r="AB67" s="8">
        <v>1006.0</v>
      </c>
      <c r="AC67" s="11">
        <v>39.6</v>
      </c>
      <c r="AD67" s="8">
        <v>130.0</v>
      </c>
    </row>
    <row r="68" ht="15.75" customHeight="1">
      <c r="A68" s="19"/>
      <c r="B68" s="8" t="s">
        <v>37</v>
      </c>
      <c r="C68" s="19"/>
      <c r="D68" s="19"/>
      <c r="E68" s="19"/>
      <c r="F68" s="19"/>
      <c r="G68" s="8">
        <v>397.0</v>
      </c>
      <c r="H68" s="11">
        <v>15.6</v>
      </c>
      <c r="I68" s="8">
        <v>612.0</v>
      </c>
      <c r="J68" s="11">
        <v>24.1</v>
      </c>
      <c r="K68" s="8">
        <v>842.0</v>
      </c>
      <c r="L68" s="11">
        <v>33.1</v>
      </c>
      <c r="M68" s="8">
        <v>587.0</v>
      </c>
      <c r="N68" s="11">
        <v>23.1</v>
      </c>
      <c r="O68" s="8">
        <v>577.0</v>
      </c>
      <c r="P68" s="11">
        <v>22.7</v>
      </c>
      <c r="Q68" s="8">
        <v>563.0</v>
      </c>
      <c r="R68" s="11">
        <v>22.2</v>
      </c>
      <c r="S68" s="8">
        <v>570.0</v>
      </c>
      <c r="T68" s="11">
        <v>22.4</v>
      </c>
      <c r="U68" s="8">
        <v>420.0</v>
      </c>
      <c r="V68" s="11">
        <v>16.5</v>
      </c>
      <c r="W68" s="8">
        <v>-64.0</v>
      </c>
      <c r="X68" s="11">
        <v>-2.5</v>
      </c>
      <c r="Y68" s="8">
        <v>285.0</v>
      </c>
      <c r="Z68" s="12">
        <v>72.5</v>
      </c>
      <c r="AA68" s="12">
        <v>73.0</v>
      </c>
      <c r="AB68" s="8">
        <v>1024.0</v>
      </c>
      <c r="AC68" s="11">
        <v>40.3</v>
      </c>
      <c r="AD68" s="8">
        <v>160.0</v>
      </c>
    </row>
    <row r="69" ht="15.75" customHeight="1">
      <c r="A69" s="6"/>
      <c r="B69" s="8" t="s">
        <v>115</v>
      </c>
      <c r="C69" s="6"/>
      <c r="D69" s="6"/>
      <c r="E69" s="6"/>
      <c r="F69" s="6"/>
      <c r="G69" s="8">
        <v>405.0</v>
      </c>
      <c r="H69" s="11">
        <v>15.9</v>
      </c>
      <c r="I69" s="8">
        <v>626.0</v>
      </c>
      <c r="J69" s="11">
        <v>24.6</v>
      </c>
      <c r="K69" s="8">
        <v>842.0</v>
      </c>
      <c r="L69" s="11">
        <v>33.1</v>
      </c>
      <c r="M69" s="8">
        <v>606.0</v>
      </c>
      <c r="N69" s="11">
        <v>23.9</v>
      </c>
      <c r="O69" s="8">
        <v>596.0</v>
      </c>
      <c r="P69" s="11">
        <v>23.5</v>
      </c>
      <c r="Q69" s="8">
        <v>581.0</v>
      </c>
      <c r="R69" s="11">
        <v>22.9</v>
      </c>
      <c r="S69" s="8">
        <v>600.0</v>
      </c>
      <c r="T69" s="11">
        <v>23.6</v>
      </c>
      <c r="U69" s="8">
        <v>420.0</v>
      </c>
      <c r="V69" s="11">
        <v>16.5</v>
      </c>
      <c r="W69" s="8">
        <v>-64.0</v>
      </c>
      <c r="X69" s="11">
        <v>-2.5</v>
      </c>
      <c r="Y69" s="8">
        <v>285.0</v>
      </c>
      <c r="Z69" s="12">
        <v>72.5</v>
      </c>
      <c r="AA69" s="12">
        <v>72.5</v>
      </c>
      <c r="AB69" s="8">
        <v>1038.0</v>
      </c>
      <c r="AC69" s="11">
        <v>40.9</v>
      </c>
      <c r="AD69" s="8">
        <v>180.0</v>
      </c>
    </row>
    <row r="70" ht="15.75" customHeight="1">
      <c r="A70" s="24" t="s">
        <v>139</v>
      </c>
      <c r="B70" s="25" t="s">
        <v>65</v>
      </c>
      <c r="C70" s="26" t="s">
        <v>68</v>
      </c>
      <c r="D70" s="26">
        <v>586.0</v>
      </c>
      <c r="E70" s="26">
        <v>170.0</v>
      </c>
      <c r="F70" s="26" t="s">
        <v>69</v>
      </c>
      <c r="G70" s="25">
        <v>425.0</v>
      </c>
      <c r="H70" s="27">
        <f t="shared" ref="H70:H75" si="32">G70/25.4</f>
        <v>16.73228346</v>
      </c>
      <c r="I70" s="25">
        <v>779.0</v>
      </c>
      <c r="J70" s="27">
        <f t="shared" ref="J70:J75" si="33">I70/25.4</f>
        <v>30.66929134</v>
      </c>
      <c r="K70" s="25">
        <v>783.0</v>
      </c>
      <c r="L70" s="27">
        <v>30.8</v>
      </c>
      <c r="M70" s="25">
        <v>636.0</v>
      </c>
      <c r="N70" s="27">
        <f t="shared" ref="N70:N75" si="34">M70/25.4</f>
        <v>25.03937008</v>
      </c>
      <c r="O70" s="25">
        <v>597.0</v>
      </c>
      <c r="P70" s="27">
        <f t="shared" ref="P70:P75" si="35">O70/25.4</f>
        <v>23.50393701</v>
      </c>
      <c r="Q70" s="25">
        <v>559.0</v>
      </c>
      <c r="R70" s="27">
        <f t="shared" ref="R70:R75" si="36">Q70/25.4</f>
        <v>22.00787402</v>
      </c>
      <c r="S70" s="25">
        <v>396.0</v>
      </c>
      <c r="T70" s="27">
        <f t="shared" ref="T70:T75" si="37">S70/25.4</f>
        <v>15.59055118</v>
      </c>
      <c r="U70" s="25">
        <v>454.6</v>
      </c>
      <c r="V70" s="27">
        <f t="shared" ref="V70:V75" si="38">U70/25.4</f>
        <v>17.8976378</v>
      </c>
      <c r="W70" s="31" t="s">
        <v>140</v>
      </c>
      <c r="X70" s="34" t="s">
        <v>141</v>
      </c>
      <c r="Y70" s="25">
        <v>345.4</v>
      </c>
      <c r="Z70" s="28">
        <v>63.8</v>
      </c>
      <c r="AA70" s="28">
        <v>75.2</v>
      </c>
      <c r="AB70" s="25">
        <v>1233.0</v>
      </c>
      <c r="AC70" s="27">
        <f t="shared" ref="AC70:AC75" si="39">AB70/25.4</f>
        <v>48.54330709</v>
      </c>
      <c r="AD70" s="25">
        <v>120.0</v>
      </c>
    </row>
    <row r="71" ht="15.75" customHeight="1">
      <c r="A71" s="19"/>
      <c r="B71" s="25" t="s">
        <v>24</v>
      </c>
      <c r="C71" s="19"/>
      <c r="D71" s="19"/>
      <c r="E71" s="19"/>
      <c r="F71" s="19"/>
      <c r="G71" s="25">
        <v>451.6</v>
      </c>
      <c r="H71" s="27">
        <f t="shared" si="32"/>
        <v>17.77952756</v>
      </c>
      <c r="I71" s="25">
        <v>805.0</v>
      </c>
      <c r="J71" s="27">
        <f t="shared" si="33"/>
        <v>31.69291339</v>
      </c>
      <c r="K71" s="25">
        <f>440.6+Y71</f>
        <v>786</v>
      </c>
      <c r="L71" s="27">
        <f t="shared" ref="L71:L75" si="40">K71/25.4</f>
        <v>30.94488189</v>
      </c>
      <c r="M71" s="25">
        <v>645.5</v>
      </c>
      <c r="N71" s="27">
        <f t="shared" si="34"/>
        <v>25.41338583</v>
      </c>
      <c r="O71" s="25">
        <v>622.4</v>
      </c>
      <c r="P71" s="27">
        <f t="shared" si="35"/>
        <v>24.50393701</v>
      </c>
      <c r="Q71" s="25">
        <v>582.9</v>
      </c>
      <c r="R71" s="27">
        <f t="shared" si="36"/>
        <v>22.9488189</v>
      </c>
      <c r="S71" s="25">
        <v>432.0</v>
      </c>
      <c r="T71" s="27">
        <f t="shared" si="37"/>
        <v>17.00787402</v>
      </c>
      <c r="U71" s="25">
        <v>454.6</v>
      </c>
      <c r="V71" s="27">
        <f t="shared" si="38"/>
        <v>17.8976378</v>
      </c>
      <c r="W71" s="31" t="s">
        <v>140</v>
      </c>
      <c r="X71" s="34" t="s">
        <v>141</v>
      </c>
      <c r="Y71" s="25">
        <v>345.4</v>
      </c>
      <c r="Z71" s="28">
        <v>63.8</v>
      </c>
      <c r="AA71" s="28">
        <v>75.2</v>
      </c>
      <c r="AB71" s="25">
        <v>1259.2</v>
      </c>
      <c r="AC71" s="27">
        <f t="shared" si="39"/>
        <v>49.57480315</v>
      </c>
      <c r="AD71" s="25">
        <v>120.0</v>
      </c>
    </row>
    <row r="72" ht="15.75" customHeight="1">
      <c r="A72" s="6"/>
      <c r="B72" s="25" t="s">
        <v>37</v>
      </c>
      <c r="C72" s="6"/>
      <c r="D72" s="6"/>
      <c r="E72" s="6"/>
      <c r="F72" s="6"/>
      <c r="G72" s="25">
        <v>480.0</v>
      </c>
      <c r="H72" s="27">
        <f t="shared" si="32"/>
        <v>18.8976378</v>
      </c>
      <c r="I72" s="25">
        <v>837.9</v>
      </c>
      <c r="J72" s="27">
        <f t="shared" si="33"/>
        <v>32.98818898</v>
      </c>
      <c r="K72" s="25">
        <f>443.3+Y72</f>
        <v>788.7</v>
      </c>
      <c r="L72" s="27">
        <f t="shared" si="40"/>
        <v>31.0511811</v>
      </c>
      <c r="M72" s="25">
        <v>654.5</v>
      </c>
      <c r="N72" s="27">
        <f t="shared" si="34"/>
        <v>25.76771654</v>
      </c>
      <c r="O72" s="25">
        <v>654.1</v>
      </c>
      <c r="P72" s="27">
        <f t="shared" si="35"/>
        <v>25.7519685</v>
      </c>
      <c r="Q72" s="25">
        <v>613.1</v>
      </c>
      <c r="R72" s="27">
        <f t="shared" si="36"/>
        <v>24.13779528</v>
      </c>
      <c r="S72" s="25">
        <v>480.0</v>
      </c>
      <c r="T72" s="27">
        <f t="shared" si="37"/>
        <v>18.8976378</v>
      </c>
      <c r="U72" s="25">
        <v>454.6</v>
      </c>
      <c r="V72" s="27">
        <f t="shared" si="38"/>
        <v>17.8976378</v>
      </c>
      <c r="W72" s="31" t="s">
        <v>140</v>
      </c>
      <c r="X72" s="34" t="s">
        <v>141</v>
      </c>
      <c r="Y72" s="25">
        <v>345.4</v>
      </c>
      <c r="Z72" s="28">
        <v>63.8</v>
      </c>
      <c r="AA72" s="28">
        <v>75.2</v>
      </c>
      <c r="AB72" s="25">
        <v>1292.0</v>
      </c>
      <c r="AC72" s="27">
        <f t="shared" si="39"/>
        <v>50.86614173</v>
      </c>
      <c r="AD72" s="25">
        <v>130.0</v>
      </c>
    </row>
    <row r="73" ht="15.75" customHeight="1">
      <c r="A73" s="7" t="s">
        <v>142</v>
      </c>
      <c r="B73" s="8" t="s">
        <v>65</v>
      </c>
      <c r="C73" s="7" t="s">
        <v>68</v>
      </c>
      <c r="D73" s="7">
        <v>577.0</v>
      </c>
      <c r="E73" s="18">
        <v>160.0</v>
      </c>
      <c r="F73" s="18" t="s">
        <v>69</v>
      </c>
      <c r="G73" s="8">
        <v>430.0</v>
      </c>
      <c r="H73" s="11">
        <f t="shared" si="32"/>
        <v>16.92913386</v>
      </c>
      <c r="I73" s="8">
        <v>771.0</v>
      </c>
      <c r="J73" s="11">
        <f t="shared" si="33"/>
        <v>30.35433071</v>
      </c>
      <c r="K73" s="8">
        <v>778.0</v>
      </c>
      <c r="L73" s="11">
        <f t="shared" si="40"/>
        <v>30.62992126</v>
      </c>
      <c r="M73" s="8">
        <v>633.0</v>
      </c>
      <c r="N73" s="11">
        <f t="shared" si="34"/>
        <v>24.92125984</v>
      </c>
      <c r="O73" s="8">
        <v>593.0</v>
      </c>
      <c r="P73" s="11">
        <f t="shared" si="35"/>
        <v>23.34645669</v>
      </c>
      <c r="Q73" s="8">
        <v>555.0</v>
      </c>
      <c r="R73" s="11">
        <f t="shared" si="36"/>
        <v>21.8503937</v>
      </c>
      <c r="S73" s="8">
        <v>396.0</v>
      </c>
      <c r="T73" s="11">
        <f t="shared" si="37"/>
        <v>15.59055118</v>
      </c>
      <c r="U73" s="8">
        <v>455.0</v>
      </c>
      <c r="V73" s="11">
        <f t="shared" si="38"/>
        <v>17.91338583</v>
      </c>
      <c r="W73" s="8" t="s">
        <v>143</v>
      </c>
      <c r="X73" s="11" t="s">
        <v>144</v>
      </c>
      <c r="Y73" s="8">
        <v>342.5</v>
      </c>
      <c r="Z73" s="12">
        <v>64.1</v>
      </c>
      <c r="AA73" s="12">
        <v>75.6</v>
      </c>
      <c r="AB73" s="8">
        <v>1225.0</v>
      </c>
      <c r="AC73" s="11">
        <f t="shared" si="39"/>
        <v>48.22834646</v>
      </c>
      <c r="AD73" s="8">
        <v>120.0</v>
      </c>
    </row>
    <row r="74" ht="15.75" customHeight="1">
      <c r="A74" s="19"/>
      <c r="B74" s="8" t="s">
        <v>24</v>
      </c>
      <c r="C74" s="19"/>
      <c r="D74" s="19"/>
      <c r="E74" s="19"/>
      <c r="F74" s="19"/>
      <c r="G74" s="8">
        <v>455.7</v>
      </c>
      <c r="H74" s="11">
        <f t="shared" si="32"/>
        <v>17.94094488</v>
      </c>
      <c r="I74" s="8">
        <v>801.5</v>
      </c>
      <c r="J74" s="11">
        <f t="shared" si="33"/>
        <v>31.55511811</v>
      </c>
      <c r="K74" s="8">
        <f>438.2+Y74</f>
        <v>780.7</v>
      </c>
      <c r="L74" s="11">
        <f t="shared" si="40"/>
        <v>30.73622047</v>
      </c>
      <c r="M74" s="8">
        <v>642.6</v>
      </c>
      <c r="N74" s="11">
        <f t="shared" si="34"/>
        <v>25.2992126</v>
      </c>
      <c r="O74" s="8">
        <v>620.9</v>
      </c>
      <c r="P74" s="11">
        <f t="shared" si="35"/>
        <v>24.44488189</v>
      </c>
      <c r="Q74" s="8">
        <v>582.9</v>
      </c>
      <c r="R74" s="11">
        <f t="shared" si="36"/>
        <v>22.9488189</v>
      </c>
      <c r="S74" s="8">
        <v>432.0</v>
      </c>
      <c r="T74" s="11">
        <f t="shared" si="37"/>
        <v>17.00787402</v>
      </c>
      <c r="U74" s="8">
        <v>454.6</v>
      </c>
      <c r="V74" s="11">
        <f t="shared" si="38"/>
        <v>17.8976378</v>
      </c>
      <c r="W74" s="8" t="s">
        <v>143</v>
      </c>
      <c r="X74" s="11" t="s">
        <v>144</v>
      </c>
      <c r="Y74" s="8">
        <v>342.5</v>
      </c>
      <c r="Z74" s="12">
        <v>64.1</v>
      </c>
      <c r="AA74" s="12">
        <v>75.6</v>
      </c>
      <c r="AB74" s="8">
        <v>1255.3</v>
      </c>
      <c r="AC74" s="11">
        <f t="shared" si="39"/>
        <v>49.42125984</v>
      </c>
      <c r="AD74" s="8">
        <v>120.0</v>
      </c>
    </row>
    <row r="75" ht="15.75" customHeight="1">
      <c r="A75" s="6"/>
      <c r="B75" s="8" t="s">
        <v>37</v>
      </c>
      <c r="C75" s="6"/>
      <c r="D75" s="6"/>
      <c r="E75" s="6"/>
      <c r="F75" s="6"/>
      <c r="G75" s="8">
        <v>484.0</v>
      </c>
      <c r="H75" s="11">
        <f t="shared" si="32"/>
        <v>19.05511811</v>
      </c>
      <c r="I75" s="8">
        <v>835.0</v>
      </c>
      <c r="J75" s="11">
        <f t="shared" si="33"/>
        <v>32.87401575</v>
      </c>
      <c r="K75" s="8">
        <v>784.0</v>
      </c>
      <c r="L75" s="11">
        <f t="shared" si="40"/>
        <v>30.86614173</v>
      </c>
      <c r="M75" s="8">
        <v>652.0</v>
      </c>
      <c r="N75" s="11">
        <f t="shared" si="34"/>
        <v>25.66929134</v>
      </c>
      <c r="O75" s="8">
        <v>653.0</v>
      </c>
      <c r="P75" s="11">
        <f t="shared" si="35"/>
        <v>25.70866142</v>
      </c>
      <c r="Q75" s="8">
        <v>613.1</v>
      </c>
      <c r="R75" s="11">
        <f t="shared" si="36"/>
        <v>24.13779528</v>
      </c>
      <c r="S75" s="8">
        <v>480.0</v>
      </c>
      <c r="T75" s="11">
        <f t="shared" si="37"/>
        <v>18.8976378</v>
      </c>
      <c r="U75" s="8">
        <v>454.6</v>
      </c>
      <c r="V75" s="11">
        <f t="shared" si="38"/>
        <v>17.8976378</v>
      </c>
      <c r="W75" s="8" t="s">
        <v>143</v>
      </c>
      <c r="X75" s="11" t="s">
        <v>144</v>
      </c>
      <c r="Y75" s="8">
        <v>342.5</v>
      </c>
      <c r="Z75" s="12">
        <v>64.1</v>
      </c>
      <c r="AA75" s="12">
        <v>75.6</v>
      </c>
      <c r="AB75" s="8">
        <v>1288.0</v>
      </c>
      <c r="AC75" s="11">
        <f t="shared" si="39"/>
        <v>50.70866142</v>
      </c>
      <c r="AD75" s="8">
        <v>130.0</v>
      </c>
    </row>
    <row r="76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</row>
    <row r="83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</row>
    <row r="84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</row>
    <row r="85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</row>
  </sheetData>
  <mergeCells count="114">
    <mergeCell ref="S1:T1"/>
    <mergeCell ref="U1:V1"/>
    <mergeCell ref="W1:X1"/>
    <mergeCell ref="AB1:AC1"/>
    <mergeCell ref="A1:A2"/>
    <mergeCell ref="G1:H1"/>
    <mergeCell ref="I1:J1"/>
    <mergeCell ref="K1:L1"/>
    <mergeCell ref="M1:N1"/>
    <mergeCell ref="O1:P1"/>
    <mergeCell ref="Q1:R1"/>
    <mergeCell ref="D5:D6"/>
    <mergeCell ref="E5:E6"/>
    <mergeCell ref="A3:A4"/>
    <mergeCell ref="C3:C4"/>
    <mergeCell ref="D3:D4"/>
    <mergeCell ref="E3:E4"/>
    <mergeCell ref="F3:F4"/>
    <mergeCell ref="C5:C6"/>
    <mergeCell ref="F5:F6"/>
    <mergeCell ref="C10:C12"/>
    <mergeCell ref="D10:D12"/>
    <mergeCell ref="E10:E12"/>
    <mergeCell ref="F10:F12"/>
    <mergeCell ref="A5:A6"/>
    <mergeCell ref="A7:A9"/>
    <mergeCell ref="C7:C9"/>
    <mergeCell ref="D7:D9"/>
    <mergeCell ref="E7:E9"/>
    <mergeCell ref="F7:F9"/>
    <mergeCell ref="A10:A12"/>
    <mergeCell ref="C43:C45"/>
    <mergeCell ref="D43:D45"/>
    <mergeCell ref="E43:E45"/>
    <mergeCell ref="F43:F45"/>
    <mergeCell ref="A43:A45"/>
    <mergeCell ref="A46:A48"/>
    <mergeCell ref="C46:C48"/>
    <mergeCell ref="D46:D48"/>
    <mergeCell ref="E46:E48"/>
    <mergeCell ref="F46:F48"/>
    <mergeCell ref="C49:C51"/>
    <mergeCell ref="F49:F51"/>
    <mergeCell ref="D58:D61"/>
    <mergeCell ref="E58:E61"/>
    <mergeCell ref="A49:A51"/>
    <mergeCell ref="A55:A57"/>
    <mergeCell ref="C55:C57"/>
    <mergeCell ref="D55:D57"/>
    <mergeCell ref="E55:E57"/>
    <mergeCell ref="F55:F57"/>
    <mergeCell ref="C58:C61"/>
    <mergeCell ref="F58:F61"/>
    <mergeCell ref="C66:C69"/>
    <mergeCell ref="D66:D69"/>
    <mergeCell ref="E66:E69"/>
    <mergeCell ref="F66:F69"/>
    <mergeCell ref="A58:A61"/>
    <mergeCell ref="A62:A65"/>
    <mergeCell ref="C62:C65"/>
    <mergeCell ref="D62:D65"/>
    <mergeCell ref="E62:E65"/>
    <mergeCell ref="F62:F65"/>
    <mergeCell ref="A66:A69"/>
    <mergeCell ref="D73:D75"/>
    <mergeCell ref="E73:E75"/>
    <mergeCell ref="A70:A72"/>
    <mergeCell ref="C70:C72"/>
    <mergeCell ref="D70:D72"/>
    <mergeCell ref="E70:E72"/>
    <mergeCell ref="F70:F72"/>
    <mergeCell ref="A73:A75"/>
    <mergeCell ref="C73:C75"/>
    <mergeCell ref="F73:F75"/>
    <mergeCell ref="A13:A15"/>
    <mergeCell ref="C13:C15"/>
    <mergeCell ref="D13:D15"/>
    <mergeCell ref="E13:E15"/>
    <mergeCell ref="F13:F15"/>
    <mergeCell ref="C16:C18"/>
    <mergeCell ref="F16:F18"/>
    <mergeCell ref="D16:D18"/>
    <mergeCell ref="E16:E18"/>
    <mergeCell ref="C19:C20"/>
    <mergeCell ref="D19:D20"/>
    <mergeCell ref="E19:E20"/>
    <mergeCell ref="F19:F20"/>
    <mergeCell ref="C21:C22"/>
    <mergeCell ref="F21:F22"/>
    <mergeCell ref="D21:D22"/>
    <mergeCell ref="E21:E22"/>
    <mergeCell ref="D23:D24"/>
    <mergeCell ref="E23:E24"/>
    <mergeCell ref="D32:D35"/>
    <mergeCell ref="E32:E35"/>
    <mergeCell ref="F32:F35"/>
    <mergeCell ref="E40:E42"/>
    <mergeCell ref="F40:F42"/>
    <mergeCell ref="C32:C35"/>
    <mergeCell ref="C36:C39"/>
    <mergeCell ref="D36:D39"/>
    <mergeCell ref="E36:E39"/>
    <mergeCell ref="F36:F39"/>
    <mergeCell ref="C40:C42"/>
    <mergeCell ref="D40:D42"/>
    <mergeCell ref="D49:D51"/>
    <mergeCell ref="E49:E51"/>
    <mergeCell ref="A16:A18"/>
    <mergeCell ref="A19:A20"/>
    <mergeCell ref="A21:A22"/>
    <mergeCell ref="A23:A24"/>
    <mergeCell ref="A32:A35"/>
    <mergeCell ref="A36:A39"/>
    <mergeCell ref="A40:A42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2020-12-08T12:37:56Z</dcterms:created>
  <dc:creator>HP</dc:creator>
</cp:coreProperties>
</file>